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827" firstSheet="2" activeTab="2"/>
  </bookViews>
  <sheets>
    <sheet name="INDIC IPS SISPRO" sheetId="1" r:id="rId1"/>
    <sheet name="PLAN DE MEJORA IPS" sheetId="2" r:id="rId2"/>
    <sheet name="INDIC EAPB REPORTE" sheetId="3" r:id="rId3"/>
  </sheets>
  <definedNames/>
  <calcPr fullCalcOnLoad="1"/>
</workbook>
</file>

<file path=xl/comments1.xml><?xml version="1.0" encoding="utf-8"?>
<comments xmlns="http://schemas.openxmlformats.org/spreadsheetml/2006/main">
  <authors>
    <author>luzh</author>
  </authors>
  <commentList>
    <comment ref="A18" authorId="0">
      <text>
        <r>
          <rPr>
            <b/>
            <sz val="10"/>
            <rFont val="Tahoma"/>
            <family val="2"/>
          </rPr>
          <t>luzh:</t>
        </r>
        <r>
          <rPr>
            <sz val="10"/>
            <rFont val="Tahoma"/>
            <family val="2"/>
          </rPr>
          <t xml:space="preserve">
</t>
        </r>
        <r>
          <rPr>
            <sz val="8"/>
            <rFont val="Tahoma"/>
            <family val="2"/>
          </rPr>
          <t>DIGITE UNA DE LAS SIGUIENTES OPCIONES: 
40:CORTE A 31 DE MARZO
41: CORTE A 30 DE JUNIO
42: CORTE A 30 DE SEPTIEMBRE
43: CORTE A 31 DE DICIEMBRE</t>
        </r>
      </text>
    </comment>
    <comment ref="B18" authorId="0">
      <text>
        <r>
          <rPr>
            <b/>
            <sz val="10"/>
            <rFont val="Tahoma"/>
            <family val="2"/>
          </rPr>
          <t>luzh:</t>
        </r>
        <r>
          <rPr>
            <sz val="10"/>
            <rFont val="Tahoma"/>
            <family val="2"/>
          </rPr>
          <t xml:space="preserve">
DIGITE EL AÑO DE REPORTE EN FORMATO AAAA.</t>
        </r>
      </text>
    </comment>
    <comment ref="C18" authorId="0">
      <text>
        <r>
          <rPr>
            <b/>
            <sz val="10"/>
            <rFont val="Tahoma"/>
            <family val="2"/>
          </rPr>
          <t>luzh:</t>
        </r>
        <r>
          <rPr>
            <sz val="10"/>
            <rFont val="Tahoma"/>
            <family val="2"/>
          </rPr>
          <t xml:space="preserve">
NOMBRE COMPLETO DE LA IPS CONTRATADA</t>
        </r>
      </text>
    </comment>
    <comment ref="D18" authorId="0">
      <text>
        <r>
          <rPr>
            <b/>
            <sz val="10"/>
            <rFont val="Tahoma"/>
            <family val="2"/>
          </rPr>
          <t>luzh:</t>
        </r>
        <r>
          <rPr>
            <sz val="10"/>
            <rFont val="Tahoma"/>
            <family val="2"/>
          </rPr>
          <t xml:space="preserve">
</t>
        </r>
        <r>
          <rPr>
            <sz val="8"/>
            <rFont val="Tahoma"/>
            <family val="2"/>
          </rPr>
          <t>DIGITE EL NUMERO DE NIT QUE IDENTIFICA LA IPS CONTRATADA</t>
        </r>
      </text>
    </comment>
    <comment ref="E18" authorId="0">
      <text>
        <r>
          <rPr>
            <b/>
            <sz val="10"/>
            <rFont val="Tahoma"/>
            <family val="2"/>
          </rPr>
          <t>luzh:</t>
        </r>
        <r>
          <rPr>
            <sz val="10"/>
            <rFont val="Tahoma"/>
            <family val="2"/>
          </rPr>
          <t xml:space="preserve">
</t>
        </r>
        <r>
          <rPr>
            <sz val="8"/>
            <rFont val="Tahoma"/>
            <family val="2"/>
          </rPr>
          <t>DIGITE EL NUMERO DE DOCUMENTO DE IDENTIFICACION DEL AFILIADO</t>
        </r>
      </text>
    </comment>
    <comment ref="F18" authorId="0">
      <text>
        <r>
          <rPr>
            <b/>
            <sz val="10"/>
            <rFont val="Tahoma"/>
            <family val="2"/>
          </rPr>
          <t>luzh:</t>
        </r>
        <r>
          <rPr>
            <sz val="10"/>
            <rFont val="Tahoma"/>
            <family val="2"/>
          </rPr>
          <t xml:space="preserve">
</t>
        </r>
        <r>
          <rPr>
            <sz val="8"/>
            <rFont val="Tahoma"/>
            <family val="2"/>
          </rPr>
          <t xml:space="preserve">DIGITE EL NUMERO DEL CODIGO DE HABILITACION DE LA IPS
</t>
        </r>
      </text>
    </comment>
    <comment ref="I20" authorId="0">
      <text>
        <r>
          <rPr>
            <sz val="8"/>
            <rFont val="Tahoma"/>
            <family val="2"/>
          </rPr>
          <t>No. Muertes de mujeres durante el embarazo, parto o puerperio por cualquier causa. Fuente: RUAF Defunciones</t>
        </r>
      </text>
    </comment>
    <comment ref="J20" authorId="0">
      <text>
        <r>
          <rPr>
            <b/>
            <sz val="10"/>
            <rFont val="Tahoma"/>
            <family val="2"/>
          </rPr>
          <t>luzh:</t>
        </r>
        <r>
          <rPr>
            <sz val="8"/>
            <rFont val="Tahoma"/>
            <family val="2"/>
          </rPr>
          <t xml:space="preserve">
</t>
        </r>
        <r>
          <rPr>
            <sz val="7"/>
            <rFont val="Tahoma"/>
            <family val="2"/>
          </rPr>
          <t>NUMERO TOTAL DE NACIDOS VIVOS. FUENTE RUAF NACIMIENTOS</t>
        </r>
      </text>
    </comment>
    <comment ref="K20" authorId="0">
      <text>
        <r>
          <rPr>
            <sz val="10"/>
            <rFont val="Tahoma"/>
            <family val="2"/>
          </rPr>
          <t>Tasa por 100000 NV</t>
        </r>
      </text>
    </comment>
    <comment ref="N20" authorId="0">
      <text>
        <r>
          <rPr>
            <sz val="8"/>
            <rFont val="Tahoma"/>
            <family val="2"/>
          </rPr>
          <t>No. NACIDOS VIVOS CON PESO MENOR A 2500 GR AL NACER</t>
        </r>
      </text>
    </comment>
    <comment ref="O20" authorId="0">
      <text>
        <r>
          <rPr>
            <b/>
            <sz val="10"/>
            <rFont val="Tahoma"/>
            <family val="2"/>
          </rPr>
          <t>luzh:</t>
        </r>
        <r>
          <rPr>
            <sz val="8"/>
            <rFont val="Tahoma"/>
            <family val="2"/>
          </rPr>
          <t xml:space="preserve">
</t>
        </r>
        <r>
          <rPr>
            <sz val="7"/>
            <rFont val="Tahoma"/>
            <family val="2"/>
          </rPr>
          <t>NUMERO TOTAL DE NACIDOS VIVOS. FUENTE RUAF NACIMIENTOS</t>
        </r>
      </text>
    </comment>
    <comment ref="P20" authorId="0">
      <text>
        <r>
          <rPr>
            <sz val="10"/>
            <rFont val="Tahoma"/>
            <family val="2"/>
          </rPr>
          <t>Tasa por 100000 NV</t>
        </r>
      </text>
    </comment>
    <comment ref="S20" authorId="0">
      <text>
        <r>
          <rPr>
            <sz val="8"/>
            <rFont val="Tahoma"/>
            <family val="2"/>
          </rPr>
          <t>No. MUERTES EN MENORES DE 1 AÑO. FUENTE: RUAF DEFUNCIONES</t>
        </r>
      </text>
    </comment>
    <comment ref="T20" authorId="0">
      <text>
        <r>
          <rPr>
            <b/>
            <sz val="10"/>
            <rFont val="Tahoma"/>
            <family val="2"/>
          </rPr>
          <t>luzh:</t>
        </r>
        <r>
          <rPr>
            <sz val="8"/>
            <rFont val="Tahoma"/>
            <family val="2"/>
          </rPr>
          <t xml:space="preserve">
</t>
        </r>
        <r>
          <rPr>
            <sz val="7"/>
            <rFont val="Tahoma"/>
            <family val="2"/>
          </rPr>
          <t>NUMERO TOTAL DE NACIDOS VIVOS. FUENTE RUAF NACIMIENTOS</t>
        </r>
      </text>
    </comment>
    <comment ref="U20" authorId="0">
      <text>
        <r>
          <rPr>
            <sz val="10"/>
            <rFont val="Tahoma"/>
            <family val="2"/>
          </rPr>
          <t>Tasa por 100000 NV</t>
        </r>
      </text>
    </comment>
    <comment ref="X20" authorId="0">
      <text>
        <r>
          <rPr>
            <sz val="8"/>
            <rFont val="Tahoma"/>
            <family val="2"/>
          </rPr>
          <t>No. MUERTES EN MENORES DE 5 AÑOS POR IRA. FUENTE: RUAF DEFUNCIONES</t>
        </r>
      </text>
    </comment>
    <comment ref="Y20" authorId="0">
      <text>
        <r>
          <rPr>
            <b/>
            <sz val="10"/>
            <rFont val="Tahoma"/>
            <family val="2"/>
          </rPr>
          <t>luzh:</t>
        </r>
        <r>
          <rPr>
            <sz val="8"/>
            <rFont val="Tahoma"/>
            <family val="2"/>
          </rPr>
          <t xml:space="preserve">
</t>
        </r>
        <r>
          <rPr>
            <sz val="7"/>
            <rFont val="Tahoma"/>
            <family val="2"/>
          </rPr>
          <t>NUMERO TOTAL DE MENORES DE 5 AÑOS. FUENTE BASE DE DATOS POBLACIONAL</t>
        </r>
      </text>
    </comment>
    <comment ref="Z20" authorId="0">
      <text>
        <r>
          <rPr>
            <sz val="10"/>
            <rFont val="Tahoma"/>
            <family val="2"/>
          </rPr>
          <t>Tasa por 100000</t>
        </r>
      </text>
    </comment>
    <comment ref="AE20" authorId="0">
      <text>
        <r>
          <rPr>
            <sz val="10"/>
            <rFont val="Tahoma"/>
            <family val="2"/>
          </rPr>
          <t>Tasa por 100000</t>
        </r>
      </text>
    </comment>
    <comment ref="AJ20" authorId="0">
      <text>
        <r>
          <rPr>
            <sz val="10"/>
            <rFont val="Tahoma"/>
            <family val="2"/>
          </rPr>
          <t>Tasa por 100000</t>
        </r>
      </text>
    </comment>
    <comment ref="AD20" authorId="0">
      <text>
        <r>
          <rPr>
            <b/>
            <sz val="10"/>
            <rFont val="Tahoma"/>
            <family val="2"/>
          </rPr>
          <t>luzh:</t>
        </r>
        <r>
          <rPr>
            <sz val="8"/>
            <rFont val="Tahoma"/>
            <family val="2"/>
          </rPr>
          <t xml:space="preserve">
</t>
        </r>
        <r>
          <rPr>
            <sz val="7"/>
            <rFont val="Tahoma"/>
            <family val="2"/>
          </rPr>
          <t>NUMERO TOTAL DE MENORES DE 5 AÑOS. FUENTE BASE DE DATOS POBLACIONAL</t>
        </r>
      </text>
    </comment>
    <comment ref="AC20" authorId="0">
      <text>
        <r>
          <rPr>
            <sz val="8"/>
            <rFont val="Tahoma"/>
            <family val="2"/>
          </rPr>
          <t>No. MUERTES EN MENORES DE 5 AÑOS POR EDA. FUENTE: RUAF DEFUNCIONES</t>
        </r>
      </text>
    </comment>
    <comment ref="AH20" authorId="0">
      <text>
        <r>
          <rPr>
            <sz val="8"/>
            <rFont val="Tahoma"/>
            <family val="2"/>
          </rPr>
          <t>No. MUERTES EN MENORES DE 5 AÑOS POR EDA. FUENTE: RUAF DEFUNCIONES</t>
        </r>
      </text>
    </comment>
    <comment ref="AI20" authorId="0">
      <text>
        <r>
          <rPr>
            <b/>
            <sz val="10"/>
            <rFont val="Tahoma"/>
            <family val="2"/>
          </rPr>
          <t>luzh:</t>
        </r>
        <r>
          <rPr>
            <sz val="8"/>
            <rFont val="Tahoma"/>
            <family val="2"/>
          </rPr>
          <t xml:space="preserve">
</t>
        </r>
        <r>
          <rPr>
            <sz val="7"/>
            <rFont val="Tahoma"/>
            <family val="2"/>
          </rPr>
          <t>NUMERO TOTAL DE MENORES DE 5 AÑOS. FUENTE BASE DE DATOS POBLACIONAL</t>
        </r>
      </text>
    </comment>
    <comment ref="AM20" authorId="0">
      <text>
        <r>
          <rPr>
            <sz val="8"/>
            <rFont val="Tahoma"/>
            <family val="2"/>
          </rPr>
          <t>No. MUERTES EN MENORES DE 5 AÑOS POR EDA. FUENTE: RUAF DEFUNCIONES</t>
        </r>
      </text>
    </comment>
    <comment ref="AN20" authorId="0">
      <text>
        <r>
          <rPr>
            <b/>
            <sz val="10"/>
            <rFont val="Tahoma"/>
            <family val="2"/>
          </rPr>
          <t>luzh:</t>
        </r>
        <r>
          <rPr>
            <sz val="8"/>
            <rFont val="Tahoma"/>
            <family val="2"/>
          </rPr>
          <t xml:space="preserve">
</t>
        </r>
        <r>
          <rPr>
            <sz val="7"/>
            <rFont val="Tahoma"/>
            <family val="2"/>
          </rPr>
          <t>NUMERO TOTAL DE MENORES DE 5 AÑOS. FUENTE BASE DE DATOS POBLACIONAL</t>
        </r>
      </text>
    </comment>
    <comment ref="AO20" authorId="0">
      <text>
        <r>
          <rPr>
            <sz val="10"/>
            <rFont val="Tahoma"/>
            <family val="2"/>
          </rPr>
          <t>Tasa por 100000</t>
        </r>
      </text>
    </comment>
    <comment ref="AR20" authorId="0">
      <text>
        <r>
          <rPr>
            <sz val="8"/>
            <rFont val="Tahoma"/>
            <family val="2"/>
          </rPr>
          <t>No. CASOS NUEVOS DE ERC ESTADIO 5 EN DIALISIS PROGRAMADA. FUENTE REGISTRO ERC CUENTA DE ALTO COSTO</t>
        </r>
      </text>
    </comment>
    <comment ref="AS20" authorId="0">
      <text>
        <r>
          <rPr>
            <b/>
            <sz val="10"/>
            <rFont val="Tahoma"/>
            <family val="2"/>
          </rPr>
          <t>luzh:</t>
        </r>
        <r>
          <rPr>
            <sz val="8"/>
            <rFont val="Tahoma"/>
            <family val="2"/>
          </rPr>
          <t xml:space="preserve">
</t>
        </r>
        <r>
          <rPr>
            <sz val="7"/>
            <rFont val="Tahoma"/>
            <family val="2"/>
          </rPr>
          <t>NUMERO TOTAL DE MENORES DE 5 AÑOS. FUENTE BASE DE DATOS POBLACIONAL</t>
        </r>
      </text>
    </comment>
    <comment ref="AT20" authorId="0">
      <text>
        <r>
          <rPr>
            <sz val="10"/>
            <rFont val="Tahoma"/>
            <family val="2"/>
          </rPr>
          <t>NUMERO DE CASOS NUEVOS DE ERC ESTADIO 5 EN DIALISIS</t>
        </r>
      </text>
    </comment>
    <comment ref="AW20" authorId="0">
      <text>
        <r>
          <rPr>
            <sz val="8"/>
            <rFont val="Tahoma"/>
            <family val="2"/>
          </rPr>
          <t xml:space="preserve">No. PACIENTES CON ERC ESTADIO 1-4 DISMINUCION DE TFG DE MAS DE 5 ML/MIN/1,73 M2 EN 1 AÑO
</t>
        </r>
      </text>
    </comment>
    <comment ref="AX20" authorId="0">
      <text>
        <r>
          <rPr>
            <b/>
            <sz val="10"/>
            <rFont val="Tahoma"/>
            <family val="2"/>
          </rPr>
          <t>luzh:</t>
        </r>
        <r>
          <rPr>
            <sz val="8"/>
            <rFont val="Tahoma"/>
            <family val="2"/>
          </rPr>
          <t xml:space="preserve">
</t>
        </r>
        <r>
          <rPr>
            <sz val="7"/>
            <rFont val="Tahoma"/>
            <family val="2"/>
          </rPr>
          <t>NUMERO TOTAL DE PACIENTES CON DIAGNOSTICO DE ERC ESTADIO 1-4</t>
        </r>
      </text>
    </comment>
    <comment ref="AY20" authorId="0">
      <text>
        <r>
          <rPr>
            <sz val="10"/>
            <rFont val="Tahoma"/>
            <family val="2"/>
          </rPr>
          <t>Tasa por 100000</t>
        </r>
      </text>
    </comment>
    <comment ref="BB20" authorId="0">
      <text>
        <r>
          <rPr>
            <sz val="8"/>
            <rFont val="Tahoma"/>
            <family val="2"/>
          </rPr>
          <t>No. GESTANTES CON TOMA DE VIH DURENTE EL CONTROL PRENATAL</t>
        </r>
      </text>
    </comment>
    <comment ref="BC20" authorId="0">
      <text>
        <r>
          <rPr>
            <b/>
            <sz val="10"/>
            <rFont val="Tahoma"/>
            <family val="2"/>
          </rPr>
          <t>luzh:</t>
        </r>
        <r>
          <rPr>
            <sz val="8"/>
            <rFont val="Tahoma"/>
            <family val="2"/>
          </rPr>
          <t xml:space="preserve">
</t>
        </r>
        <r>
          <rPr>
            <sz val="7"/>
            <rFont val="Tahoma"/>
            <family val="2"/>
          </rPr>
          <t>NUMERO TOTAL DE GESTANTES REPORTADAS</t>
        </r>
      </text>
    </comment>
    <comment ref="BD20" authorId="0">
      <text>
        <r>
          <rPr>
            <sz val="10"/>
            <rFont val="Tahoma"/>
            <family val="2"/>
          </rPr>
          <t>Tasa por 100000</t>
        </r>
      </text>
    </comment>
    <comment ref="BG20" authorId="0">
      <text>
        <r>
          <rPr>
            <sz val="8"/>
            <rFont val="Tahoma"/>
            <family val="2"/>
          </rPr>
          <t>No. GESTANTES CON VIH Y TAR</t>
        </r>
      </text>
    </comment>
    <comment ref="BH20" authorId="0">
      <text>
        <r>
          <rPr>
            <b/>
            <sz val="10"/>
            <rFont val="Tahoma"/>
            <family val="2"/>
          </rPr>
          <t>luzh:</t>
        </r>
        <r>
          <rPr>
            <sz val="8"/>
            <rFont val="Tahoma"/>
            <family val="2"/>
          </rPr>
          <t xml:space="preserve">
</t>
        </r>
        <r>
          <rPr>
            <sz val="7"/>
            <rFont val="Tahoma"/>
            <family val="2"/>
          </rPr>
          <t>NUMERO TOTAL DE GESTANTES REPORTADAS</t>
        </r>
      </text>
    </comment>
    <comment ref="BI20" authorId="0">
      <text>
        <r>
          <rPr>
            <sz val="10"/>
            <rFont val="Tahoma"/>
            <family val="2"/>
          </rPr>
          <t>Tasa por 100000</t>
        </r>
      </text>
    </comment>
    <comment ref="BL20" authorId="0">
      <text>
        <r>
          <rPr>
            <sz val="8"/>
            <rFont val="Tahoma"/>
            <family val="2"/>
          </rPr>
          <t>No. GESTANTES CON TOMA DE VIH DURENTE EL CONTROL PRENATAL</t>
        </r>
      </text>
    </comment>
    <comment ref="BM20" authorId="0">
      <text>
        <r>
          <rPr>
            <b/>
            <sz val="10"/>
            <rFont val="Tahoma"/>
            <family val="2"/>
          </rPr>
          <t>luzh:</t>
        </r>
        <r>
          <rPr>
            <sz val="8"/>
            <rFont val="Tahoma"/>
            <family val="2"/>
          </rPr>
          <t xml:space="preserve">
</t>
        </r>
        <r>
          <rPr>
            <sz val="7"/>
            <rFont val="Tahoma"/>
            <family val="2"/>
          </rPr>
          <t>NUMERO TOTAL DE GESTANTES REPORTADAS</t>
        </r>
      </text>
    </comment>
    <comment ref="BN20" authorId="0">
      <text>
        <r>
          <rPr>
            <sz val="10"/>
            <rFont val="Tahoma"/>
            <family val="2"/>
          </rPr>
          <t>Tasa por 100000</t>
        </r>
      </text>
    </comment>
    <comment ref="BQ20" authorId="0">
      <text>
        <r>
          <rPr>
            <sz val="8"/>
            <rFont val="Tahoma"/>
            <family val="2"/>
          </rPr>
          <t>No. CASOS DE NIÑOS CON HIPOTIROIDISMO CONGENITO QUE RECIBEN TRATAMIENTO</t>
        </r>
      </text>
    </comment>
    <comment ref="BR20" authorId="0">
      <text>
        <r>
          <rPr>
            <b/>
            <sz val="10"/>
            <rFont val="Tahoma"/>
            <family val="2"/>
          </rPr>
          <t>luzh:</t>
        </r>
        <r>
          <rPr>
            <sz val="8"/>
            <rFont val="Tahoma"/>
            <family val="2"/>
          </rPr>
          <t xml:space="preserve">
</t>
        </r>
        <r>
          <rPr>
            <sz val="7"/>
            <rFont val="Tahoma"/>
            <family val="2"/>
          </rPr>
          <t>NUMERO DE CASOS DE NIÑOS CON HIPOTIROIDISMO CONGENITO DIAGNOSTICADOS</t>
        </r>
      </text>
    </comment>
    <comment ref="BS20" authorId="0">
      <text>
        <r>
          <rPr>
            <sz val="10"/>
            <rFont val="Tahoma"/>
            <family val="2"/>
          </rPr>
          <t>Tasa por 100000</t>
        </r>
      </text>
    </comment>
    <comment ref="BV20" authorId="0">
      <text>
        <r>
          <rPr>
            <sz val="8"/>
            <rFont val="Tahoma"/>
            <family val="2"/>
          </rPr>
          <t>No. PACIENTES ENTRE 18 Y 69 AÑOS CON HTA</t>
        </r>
      </text>
    </comment>
    <comment ref="BX20" authorId="0">
      <text>
        <r>
          <rPr>
            <sz val="10"/>
            <rFont val="Tahoma"/>
            <family val="2"/>
          </rPr>
          <t>NUMERO TOTAL ESPERADO DE PACIENTES ENTRE 18 A 69 AÑOS CON DIAGNOSTICO DE HTA</t>
        </r>
      </text>
    </comment>
    <comment ref="CA20" authorId="0">
      <text>
        <r>
          <rPr>
            <sz val="8"/>
            <rFont val="Tahoma"/>
            <family val="2"/>
          </rPr>
          <t>No. PACIENTES CON HTA CONTROLADA</t>
        </r>
      </text>
    </comment>
    <comment ref="CB20" authorId="0">
      <text>
        <r>
          <rPr>
            <b/>
            <sz val="10"/>
            <rFont val="Tahoma"/>
            <family val="2"/>
          </rPr>
          <t>luzh:</t>
        </r>
        <r>
          <rPr>
            <sz val="8"/>
            <rFont val="Tahoma"/>
            <family val="2"/>
          </rPr>
          <t xml:space="preserve">
</t>
        </r>
        <r>
          <rPr>
            <sz val="7"/>
            <rFont val="Tahoma"/>
            <family val="2"/>
          </rPr>
          <t>NUMERO DE PACIENTES CON DIAGNOSTICO DE HTA</t>
        </r>
      </text>
    </comment>
    <comment ref="CC20" authorId="0">
      <text>
        <r>
          <rPr>
            <sz val="10"/>
            <rFont val="Tahoma"/>
            <family val="2"/>
          </rPr>
          <t>Tasa por 100000</t>
        </r>
      </text>
    </comment>
    <comment ref="CF20" authorId="0">
      <text>
        <r>
          <rPr>
            <sz val="8"/>
            <rFont val="Tahoma"/>
            <family val="2"/>
          </rPr>
          <t>No. PACIENTES ENTRE 18 Y 69 AÑOS CON DM</t>
        </r>
      </text>
    </comment>
    <comment ref="CH20" authorId="0">
      <text>
        <r>
          <rPr>
            <sz val="10"/>
            <rFont val="Tahoma"/>
            <family val="2"/>
          </rPr>
          <t>NUMERO TOTAL ESOERADO DE PACIENTES ENTRE 18 A 69 AÑOS CON DIAGNOSTICO DE HTA</t>
        </r>
      </text>
    </comment>
    <comment ref="BW20" authorId="0">
      <text>
        <r>
          <rPr>
            <sz val="10"/>
            <rFont val="Tahoma"/>
            <family val="2"/>
          </rPr>
          <t>NUMERO TOTAL ESPERADO DE PACIENTES ENTRE 18 A 69 AÑOS CON DIAGNOSTICO DE HTA</t>
        </r>
      </text>
    </comment>
    <comment ref="CG20" authorId="0">
      <text>
        <r>
          <rPr>
            <sz val="10"/>
            <rFont val="Tahoma"/>
            <family val="2"/>
          </rPr>
          <t>NUMERO TOTAL ESPERADO DE PACIENTES ENTRE 18 A 69 AÑOS CON DIAGNOSTICO DE DM</t>
        </r>
      </text>
    </comment>
    <comment ref="CK20" authorId="0">
      <text>
        <r>
          <rPr>
            <sz val="8"/>
            <rFont val="Tahoma"/>
            <family val="2"/>
          </rPr>
          <t>No. PACIENTES ENTRE 18 Y 69 AÑOS CON DM</t>
        </r>
      </text>
    </comment>
    <comment ref="CL20" authorId="0">
      <text>
        <r>
          <rPr>
            <sz val="10"/>
            <rFont val="Tahoma"/>
            <family val="2"/>
          </rPr>
          <t>NUMERO TOTAL ESPERADO DE PACIENTES ENTRE 18 A 69 AÑOS CON DIAGNOSTICO DE DM</t>
        </r>
      </text>
    </comment>
    <comment ref="CM20" authorId="0">
      <text>
        <r>
          <rPr>
            <sz val="10"/>
            <rFont val="Tahoma"/>
            <family val="2"/>
          </rPr>
          <t>NUMERO TOTAL ESOERADO DE PACIENTES ENTRE 18 A 69 AÑOS CON DIAGNOSTICO DE HTA</t>
        </r>
      </text>
    </comment>
    <comment ref="CP20" authorId="0">
      <text>
        <r>
          <rPr>
            <sz val="8"/>
            <rFont val="Tahoma"/>
            <family val="2"/>
          </rPr>
          <t>No. PACIENTES ENTRE 18 Y 69 AÑOS CON DM</t>
        </r>
      </text>
    </comment>
    <comment ref="CQ20" authorId="0">
      <text>
        <r>
          <rPr>
            <sz val="10"/>
            <rFont val="Tahoma"/>
            <family val="2"/>
          </rPr>
          <t>NUMERO TOTAL ESPERADO DE PACIENTES ENTRE 18 A 69 AÑOS CON DIAGNOSTICO DE DM</t>
        </r>
      </text>
    </comment>
    <comment ref="CR20" authorId="0">
      <text>
        <r>
          <rPr>
            <sz val="10"/>
            <rFont val="Tahoma"/>
            <family val="2"/>
          </rPr>
          <t>NUMERO TOTAL ESOERADO DE PACIENTES ENTRE 18 A 69 AÑOS CON DIAGNOSTICO DE HTA</t>
        </r>
      </text>
    </comment>
    <comment ref="CU20" authorId="0">
      <text>
        <r>
          <rPr>
            <sz val="8"/>
            <rFont val="Tahoma"/>
            <family val="2"/>
          </rPr>
          <t>No. PACIENTES ENTRE 18 Y 69 AÑOS CON DM</t>
        </r>
      </text>
    </comment>
    <comment ref="CV20" authorId="0">
      <text>
        <r>
          <rPr>
            <sz val="10"/>
            <rFont val="Tahoma"/>
            <family val="2"/>
          </rPr>
          <t>NUMERO TOTAL ESPERADO DE PACIENTES ENTRE 18 A 69 AÑOS CON DIAGNOSTICO DE DM</t>
        </r>
      </text>
    </comment>
    <comment ref="CW20" authorId="0">
      <text>
        <r>
          <rPr>
            <sz val="10"/>
            <rFont val="Tahoma"/>
            <family val="2"/>
          </rPr>
          <t>NUMERO TOTAL ESOERADO DE PACIENTES ENTRE 18 A 69 AÑOS CON DIAGNOSTICO DE HTA</t>
        </r>
      </text>
    </comment>
    <comment ref="CZ20" authorId="0">
      <text>
        <r>
          <rPr>
            <sz val="8"/>
            <rFont val="Tahoma"/>
            <family val="2"/>
          </rPr>
          <t>No. PACIENTES ENTRE 18 Y 69 AÑOS CON DM</t>
        </r>
      </text>
    </comment>
    <comment ref="DA20" authorId="0">
      <text>
        <r>
          <rPr>
            <sz val="10"/>
            <rFont val="Tahoma"/>
            <family val="2"/>
          </rPr>
          <t>NUMERO TOTAL ESPERADO DE PACIENTES ENTRE 18 A 69 AÑOS CON DIAGNOSTICO DE DM</t>
        </r>
      </text>
    </comment>
    <comment ref="DB20" authorId="0">
      <text>
        <r>
          <rPr>
            <sz val="10"/>
            <rFont val="Tahoma"/>
            <family val="2"/>
          </rPr>
          <t>NUMERO TOTAL ESOERADO DE PACIENTES ENTRE 18 A 69 AÑOS CON DIAGNOSTICO DE HTA</t>
        </r>
      </text>
    </comment>
    <comment ref="DE20" authorId="0">
      <text>
        <r>
          <rPr>
            <sz val="8"/>
            <rFont val="Tahoma"/>
            <family val="2"/>
          </rPr>
          <t>No. PACIENTES ENTRE 18 Y 69 AÑOS CON DM</t>
        </r>
      </text>
    </comment>
    <comment ref="DF20" authorId="0">
      <text>
        <r>
          <rPr>
            <sz val="10"/>
            <rFont val="Tahoma"/>
            <family val="2"/>
          </rPr>
          <t>NUMERO TOTAL ESPERADO DE PACIENTES ENTRE 18 A 69 AÑOS CON DIAGNOSTICO DE DM</t>
        </r>
      </text>
    </comment>
    <comment ref="DG20" authorId="0">
      <text>
        <r>
          <rPr>
            <sz val="10"/>
            <rFont val="Tahoma"/>
            <family val="2"/>
          </rPr>
          <t>NUMERO TOTAL ESOERADO DE PACIENTES ENTRE 18 A 69 AÑOS CON DIAGNOSTICO DE HTA</t>
        </r>
      </text>
    </comment>
    <comment ref="DJ20" authorId="0">
      <text>
        <r>
          <rPr>
            <sz val="8"/>
            <rFont val="Tahoma"/>
            <family val="2"/>
          </rPr>
          <t>No. PACIENTES ENTRE 18 Y 69 AÑOS CON DM</t>
        </r>
      </text>
    </comment>
    <comment ref="DK20" authorId="0">
      <text>
        <r>
          <rPr>
            <sz val="10"/>
            <rFont val="Tahoma"/>
            <family val="2"/>
          </rPr>
          <t>NUMERO TOTAL ESPERADO DE PACIENTES ENTRE 18 A 69 AÑOS CON DIAGNOSTICO DE DM</t>
        </r>
      </text>
    </comment>
    <comment ref="DL20" authorId="0">
      <text>
        <r>
          <rPr>
            <sz val="10"/>
            <rFont val="Tahoma"/>
            <family val="2"/>
          </rPr>
          <t>NUMERO TOTAL ESOERADO DE PACIENTES ENTRE 18 A 69 AÑOS CON DIAGNOSTICO DE HTA</t>
        </r>
      </text>
    </comment>
    <comment ref="DO20" authorId="0">
      <text>
        <r>
          <rPr>
            <sz val="8"/>
            <rFont val="Tahoma"/>
            <family val="2"/>
          </rPr>
          <t>No. PACIENTES ENTRE 18 Y 69 AÑOS CON DM</t>
        </r>
      </text>
    </comment>
    <comment ref="DP20" authorId="0">
      <text>
        <r>
          <rPr>
            <sz val="10"/>
            <rFont val="Tahoma"/>
            <family val="2"/>
          </rPr>
          <t>NUMERO TOTAL ESPERADO DE PACIENTES ENTRE 18 A 69 AÑOS CON DIAGNOSTICO DE DM</t>
        </r>
      </text>
    </comment>
    <comment ref="DQ20" authorId="0">
      <text>
        <r>
          <rPr>
            <sz val="10"/>
            <rFont val="Tahoma"/>
            <family val="2"/>
          </rPr>
          <t>NUMERO TOTAL ESOERADO DE PACIENTES ENTRE 18 A 69 AÑOS CON DIAGNOSTICO DE HTA</t>
        </r>
      </text>
    </comment>
    <comment ref="DT20" authorId="0">
      <text>
        <r>
          <rPr>
            <sz val="8"/>
            <rFont val="Tahoma"/>
            <family val="2"/>
          </rPr>
          <t>No. PACIENTES ENTRE 18 Y 69 AÑOS CON DM</t>
        </r>
      </text>
    </comment>
    <comment ref="DU20" authorId="0">
      <text>
        <r>
          <rPr>
            <sz val="10"/>
            <rFont val="Tahoma"/>
            <family val="2"/>
          </rPr>
          <t>NUMERO TOTAL ESPERADO DE PACIENTES ENTRE 18 A 69 AÑOS CON DIAGNOSTICO DE DM</t>
        </r>
      </text>
    </comment>
    <comment ref="DV20" authorId="0">
      <text>
        <r>
          <rPr>
            <sz val="10"/>
            <rFont val="Tahoma"/>
            <family val="2"/>
          </rPr>
          <t>NUMERO TOTAL ESOERADO DE PACIENTES ENTRE 18 A 69 AÑOS CON DIAGNOSTICO DE HTA</t>
        </r>
      </text>
    </comment>
  </commentList>
</comments>
</file>

<file path=xl/comments3.xml><?xml version="1.0" encoding="utf-8"?>
<comments xmlns="http://schemas.openxmlformats.org/spreadsheetml/2006/main">
  <authors>
    <author>luzh</author>
  </authors>
  <commentList>
    <comment ref="A17" authorId="0">
      <text>
        <r>
          <rPr>
            <b/>
            <sz val="10"/>
            <rFont val="Tahoma"/>
            <family val="2"/>
          </rPr>
          <t>luzh:</t>
        </r>
        <r>
          <rPr>
            <sz val="10"/>
            <rFont val="Tahoma"/>
            <family val="2"/>
          </rPr>
          <t xml:space="preserve">
DIGITE EL AÑO DE REPORTE EN FORMATO AAAA.</t>
        </r>
      </text>
    </comment>
    <comment ref="C17" authorId="0">
      <text>
        <r>
          <rPr>
            <b/>
            <sz val="10"/>
            <rFont val="Tahoma"/>
            <family val="2"/>
          </rPr>
          <t>luzh:</t>
        </r>
        <r>
          <rPr>
            <sz val="10"/>
            <rFont val="Tahoma"/>
            <family val="2"/>
          </rPr>
          <t xml:space="preserve">
</t>
        </r>
        <r>
          <rPr>
            <sz val="8"/>
            <rFont val="Tahoma"/>
            <family val="2"/>
          </rPr>
          <t xml:space="preserve">DIGITE EL NUMERO DEL CODIGO DE HABILITACION DE LA IPS
</t>
        </r>
      </text>
    </comment>
    <comment ref="B17" authorId="0">
      <text>
        <r>
          <rPr>
            <b/>
            <sz val="10"/>
            <rFont val="Tahoma"/>
            <family val="2"/>
          </rPr>
          <t>luzh:</t>
        </r>
        <r>
          <rPr>
            <sz val="10"/>
            <rFont val="Tahoma"/>
            <family val="2"/>
          </rPr>
          <t xml:space="preserve">
</t>
        </r>
        <r>
          <rPr>
            <sz val="8"/>
            <rFont val="Tahoma"/>
            <family val="2"/>
          </rPr>
          <t xml:space="preserve">DIGITE EL NUMERO DEL CODIGO DE HABILITACION DE LA IPS
</t>
        </r>
      </text>
    </comment>
    <comment ref="D17" authorId="0">
      <text>
        <r>
          <rPr>
            <b/>
            <sz val="10"/>
            <rFont val="Tahoma"/>
            <family val="2"/>
          </rPr>
          <t>luzh:</t>
        </r>
        <r>
          <rPr>
            <sz val="10"/>
            <rFont val="Tahoma"/>
            <family val="2"/>
          </rPr>
          <t xml:space="preserve">
</t>
        </r>
        <r>
          <rPr>
            <sz val="8"/>
            <rFont val="Tahoma"/>
            <family val="2"/>
          </rPr>
          <t xml:space="preserve">DIGITE EL NUMERO DEL CODIGO DE HABILITACION DE LA IPS
</t>
        </r>
      </text>
    </comment>
  </commentList>
</comments>
</file>

<file path=xl/sharedStrings.xml><?xml version="1.0" encoding="utf-8"?>
<sst xmlns="http://schemas.openxmlformats.org/spreadsheetml/2006/main" count="751" uniqueCount="257">
  <si>
    <t>PROCESO GESTION DE SERVICIOS DE SALUD</t>
  </si>
  <si>
    <t>PERIODO DE REPORTE</t>
  </si>
  <si>
    <t>PERIODO DE CORTE</t>
  </si>
  <si>
    <t>AÑO</t>
  </si>
  <si>
    <t>FUNCIONARIO ENCARGADO IPS</t>
  </si>
  <si>
    <t>DIVISION</t>
  </si>
  <si>
    <t>MUNICIPIO</t>
  </si>
  <si>
    <t>NOMBRE IPS CONTRATADA</t>
  </si>
  <si>
    <t>NUMERO DE NIT DE LA IPS CONTRATADA</t>
  </si>
  <si>
    <t>DIGITO DE VERIFICACION DEL NIT DE LA IPS</t>
  </si>
  <si>
    <t>NUMERADOR</t>
  </si>
  <si>
    <t>DENOMINADOR</t>
  </si>
  <si>
    <t>RESULTADO</t>
  </si>
  <si>
    <t>APLICA INDICADOR</t>
  </si>
  <si>
    <t>SI</t>
  </si>
  <si>
    <t>NO</t>
  </si>
  <si>
    <t>CODIGO HABILITACION IPS</t>
  </si>
  <si>
    <t>RAZON DE MORTALIDAD MATERNA A 42 DIAS</t>
  </si>
  <si>
    <t>PROPORCION DE NACIDOS VIVOS CON BAJO PESO AL NACER</t>
  </si>
  <si>
    <t>TASA DE MORTALIDAD EN NIÑOS MENOR DE UN AÑO</t>
  </si>
  <si>
    <t>TASA DE MORTALIDAD EN NIÑOS MENOR DE 5 AÑOS POR IRA</t>
  </si>
  <si>
    <t>TASA DE MORTALIDAD EN NIÑOS MENOR DE 5 AÑOS POR EDA</t>
  </si>
  <si>
    <t>TASA DE MORTALIDAD EN NIÑOS MENOR DE 5 AÑOS POR DESNUTRICION</t>
  </si>
  <si>
    <t>LETALIDAD POR DENGUE</t>
  </si>
  <si>
    <t>PROPORCION DE PACIENTES CON ERC 5 QUE INICIAN DIALISIS PROGRAMADA</t>
  </si>
  <si>
    <t>PROPORCION DE PROGRESION DE ERC</t>
  </si>
  <si>
    <t>PROPORCION DE TAMIZACION DE VIH EN GESTASTES</t>
  </si>
  <si>
    <t>PROPORCION DE GESTANTES POSITIVAS PARA VIH CON TAR</t>
  </si>
  <si>
    <t>PROPORCION DE GESTANTES CON SEROLOGIA TRIMESTRAL</t>
  </si>
  <si>
    <t>PROPORCION DE NIÑOS CON HIPOTIROIDISMO CONGENITO QUE RECIBEN TRATAMIENTO</t>
  </si>
  <si>
    <t>CAPTACION DE HTA DE PERSONAS 18 A 69 AÑOS</t>
  </si>
  <si>
    <t>PROPORCION DE PACIENTES HIPERTENSOS CONTROLADOS</t>
  </si>
  <si>
    <t>CAPTACION DE DIABETES MELLITUS DE PERSONAS DE 18 A 69 AÑOS</t>
  </si>
  <si>
    <t>REVISION DE CD ENVIADO POR CUENTA DE ALTO COSTO DE LA RESOLUCION 2463</t>
  </si>
  <si>
    <t>TIEMPO PROMEDIO DE REMISION DE MUJERES CON DX PRESUNTIVO DE CA MAMA Y LA CONFIRMACION DEL DX CASOS INCIDENTES</t>
  </si>
  <si>
    <t>PROPORCION DE PACIENTES DIABETICOS CONTROLADOS</t>
  </si>
  <si>
    <t>TIEMPO PROMEDIO DE INICIO DEL TRATAMIENTO EN CANCER DE MAMA</t>
  </si>
  <si>
    <t>INDICADOR E 3.2.11</t>
  </si>
  <si>
    <t>PROPORCION DE MUJERES CON CCV ANORMAL QUE CUMPLEN EL ESTANDAR DE 30 DIAS PARA LA TOMA DE COLPOSCOPIA</t>
  </si>
  <si>
    <t>TASA DE INCIDENCIA DE TUMOR MALIGNO INVASIVO DE CERVIX</t>
  </si>
  <si>
    <t>TIEMPO PROMEDIO DE INICIO DEL TRATAMIENTO EN CANCER DE CUELLO UTERINO</t>
  </si>
  <si>
    <t>FUENTE RES 0247</t>
  </si>
  <si>
    <t>FUENTE RES 4505</t>
  </si>
  <si>
    <t>TIEMPO PROMEDIO DE INICIO DEL TRATAMIENTO EN CANCER DE PROSTATA</t>
  </si>
  <si>
    <t>TIEMPO PROMEDIO DE INICIO DEL TRATAMIENTO DE LEUCEMIA AGUDA PEDIATRICA</t>
  </si>
  <si>
    <t>FUENTE RUAF, SIVIGILA</t>
  </si>
  <si>
    <t>FUENTE RES 2463, BASE ERC</t>
  </si>
  <si>
    <t>FUENTE RES 4725, BASE GESTANTES, 4505</t>
  </si>
  <si>
    <t xml:space="preserve">FUENTE SIVIGILA, </t>
  </si>
  <si>
    <t>FUENTE BASE CRONICOS</t>
  </si>
  <si>
    <t>FUENTE BASE CRONICOS, RES 2463</t>
  </si>
  <si>
    <t>INDICADOR E 2.2.15</t>
  </si>
  <si>
    <t>INDICADOR E 2.2.14</t>
  </si>
  <si>
    <t>INDICADOR E 2.2.13</t>
  </si>
  <si>
    <t>INDICADOR E 2.2.12</t>
  </si>
  <si>
    <t>INDICADOR E 2.2.10</t>
  </si>
  <si>
    <t>INDICADOR E 2.2.9</t>
  </si>
  <si>
    <t>INDICADOR E 2.2.8</t>
  </si>
  <si>
    <t>INDICADOR E 2.2.7</t>
  </si>
  <si>
    <t>INDICADOR E 2.2.6</t>
  </si>
  <si>
    <t>INDICADOR E 2.2.5</t>
  </si>
  <si>
    <t>INDICADOR E 2.2.4</t>
  </si>
  <si>
    <t>INDICADOR E 2.2.3</t>
  </si>
  <si>
    <t>INDICADOR E 2.2.2</t>
  </si>
  <si>
    <t>INDICADOR E 2.2.1</t>
  </si>
  <si>
    <t>INDICADOR E 2.1.9</t>
  </si>
  <si>
    <t>INDICADOR E 2.1.8</t>
  </si>
  <si>
    <t>INDICADOR E 2.1.7</t>
  </si>
  <si>
    <t>INDICADOR E 2.1.6</t>
  </si>
  <si>
    <t>INDICADOR E 2.1.5</t>
  </si>
  <si>
    <t>INDICADOR E 2.1.4</t>
  </si>
  <si>
    <t>INDICADOR E 2.1.3</t>
  </si>
  <si>
    <t>INDICADOR E 2.1.2</t>
  </si>
  <si>
    <t>INDICADOR E 2.1.1</t>
  </si>
  <si>
    <t>INDICADOR E 3.1</t>
  </si>
  <si>
    <t>TIEMPO PROMEDIO DE ESPERA PARA LA ASIGNACION DE CITA DE MEDICINA GENERAL</t>
  </si>
  <si>
    <t>INDICADOR E 3.2</t>
  </si>
  <si>
    <t>TIEMPO PROMEDIO DE ESPERA PARA LA ASIGNACION DE CITA DE ODONTOLOGIA GENERAL</t>
  </si>
  <si>
    <t>INDICADOR E 3.3</t>
  </si>
  <si>
    <t>INDICADOR E 3.4</t>
  </si>
  <si>
    <t>TIEMPO PROMEDIO DE ESPERA PARA LA AUTORIZACION DE RNM</t>
  </si>
  <si>
    <t>TIEMPO PROMEDIO DE ESPERA PARA LA AUTORIZACION DE CIRUGIA DE CATARATAS</t>
  </si>
  <si>
    <t>TIEMPO PROMEDIO DE ESPERA PARA LA AUTORIZACION DE CIRUGIA DE REEMPLAZO DE CADERA</t>
  </si>
  <si>
    <t>INDICADOR E 3.5</t>
  </si>
  <si>
    <t>INDICADOR E 3.6</t>
  </si>
  <si>
    <t>TIEMPO PROMEDIO DE ESPERA PARA LA AUTORIZACION DE CIRUGIA DE REVASCULARIZACION MIOCARDICA</t>
  </si>
  <si>
    <t>INDICADOR E 3.7</t>
  </si>
  <si>
    <t>INDICADOR E 3.8</t>
  </si>
  <si>
    <t>PROPORCION DE USUARIOS QUE RECOMENDARIA SU EPS A FAMILIARES Y AMIGOS</t>
  </si>
  <si>
    <t>PROPORCION DE USUARIOS QUE HA PENSADO EN CAMBIARSE DE EPS</t>
  </si>
  <si>
    <t>INDICADOR E 3.9</t>
  </si>
  <si>
    <t>FUENTE RIPS, RES 1552</t>
  </si>
  <si>
    <t>FUENTE AUTORIZACIONES</t>
  </si>
  <si>
    <t>FUENTE ENCUESTAS</t>
  </si>
  <si>
    <t>FUENTE AUTORIZACIONES, NURC</t>
  </si>
  <si>
    <t>PROPORCION DE SATISFACCION GLOBAL DE LOS USUARIOS EN LA EPS</t>
  </si>
  <si>
    <t>CODIGO DE MUNICIPIO</t>
  </si>
  <si>
    <t>NOMBRE RESPONSABLE</t>
  </si>
  <si>
    <t>CARGO RESPONSABLE</t>
  </si>
  <si>
    <t>FECHA INICIAL</t>
  </si>
  <si>
    <t>FECHA TERMINACION</t>
  </si>
  <si>
    <t xml:space="preserve">Codigo DANE </t>
  </si>
  <si>
    <t>Nombre del profesional encargado del desarrollo del plan de mejoramiento</t>
  </si>
  <si>
    <t>Escriba el cargo del responsable de realizar el seguimiento a la formulacion y resultados de ejecucion del plan de mejoramiento</t>
  </si>
  <si>
    <t>Numero telefonico del responsable</t>
  </si>
  <si>
    <t>Correo electronico del responsable</t>
  </si>
  <si>
    <t>Fecha propuesta para iniciar la accion de mejoramiento</t>
  </si>
  <si>
    <t>Fecha propuesta para terminar la accion de mejoramiento</t>
  </si>
  <si>
    <t>ACCIONES PROGRAMADAS</t>
  </si>
  <si>
    <t>ACCIONES EJECUTADAS</t>
  </si>
  <si>
    <t>Relacione el numero de acciones de mejora ejecutadas derivadas de las auditorias realizadas</t>
  </si>
  <si>
    <t>Relacione el numero de acciones de mejoramiento programadas para la vigencia derivadas de los planes de mejora del componente de auditoria registrados en el PAMEC</t>
  </si>
  <si>
    <t>AUDITORIAS INTERNAS EJECUTADAS</t>
  </si>
  <si>
    <t>Relacione el numero de auditorias internas al PAMEC ejecutadas para evaluar la ejecucion de los planes de mejoramiento para alcanzar la calidad esperada</t>
  </si>
  <si>
    <t>AUDITORIAS INTERNAS PROGRAMADAS</t>
  </si>
  <si>
    <t>Relacione el numero de auditorias internas al PAMEC programadas para evaluar la ejecucion de los planes de mejoramiento para alcanzar la calidad esperada</t>
  </si>
  <si>
    <t>DOCUMENTOS SOPORTE</t>
  </si>
  <si>
    <t>Relacione el numero de documentos que evidencien la revision del Aprendizaje organizacional en el que se identifiquen las acciones que se deben estandarizar en la entidad como resultado de la ejecucion del PAMEC, de conformidad con la normatividad vigente</t>
  </si>
  <si>
    <t>PROCESOS ESTANDARIZADOS</t>
  </si>
  <si>
    <t>Liste los procesos del mapa de procesos institucional y/o los procedimientos, que fueron estandarizados como producto de la ejecucion efectiva del programa de auditoria para el mejoramiento de la calidad, separados por punto y coma</t>
  </si>
  <si>
    <t>NOMBRE DEL LIDER DE CALIDAD</t>
  </si>
  <si>
    <t>DIRECCION ELECTRONICA LIDER DE CALIDAD</t>
  </si>
  <si>
    <t>Correo electronico del Lider de calidad</t>
  </si>
  <si>
    <t>TELEFONO DEL LIDER DE CALIDAD</t>
  </si>
  <si>
    <t>Telefono del lider de calidad</t>
  </si>
  <si>
    <t>DIRECCION ELECTRONICA RESPONSABLE</t>
  </si>
  <si>
    <t>TELEFONO DEL RESPONSABLE</t>
  </si>
  <si>
    <t>REPORTE DE REPORTE DE RESOLUCION 256 DE 2016 DE SUPERSALUD</t>
  </si>
  <si>
    <t>PUNTO DE ATENCION</t>
  </si>
  <si>
    <t>BOGOTA</t>
  </si>
  <si>
    <t>CODIGO EAPB</t>
  </si>
  <si>
    <t>EAS027</t>
  </si>
  <si>
    <t>GIRARDOT</t>
  </si>
  <si>
    <t>FACATATIVA</t>
  </si>
  <si>
    <t>FUSAGASUGA</t>
  </si>
  <si>
    <t>CACHIPAY</t>
  </si>
  <si>
    <t>ZIPAQUIRA</t>
  </si>
  <si>
    <t>VILLETA</t>
  </si>
  <si>
    <t>UTICA</t>
  </si>
  <si>
    <t>LA MESA</t>
  </si>
  <si>
    <t>CHOCONTA</t>
  </si>
  <si>
    <t>AMBALEMA</t>
  </si>
  <si>
    <t>IBAGUE</t>
  </si>
  <si>
    <t>NATAGAIMA</t>
  </si>
  <si>
    <t>MARIQUITA</t>
  </si>
  <si>
    <t>HONDA</t>
  </si>
  <si>
    <t>CHIQUINQUIRA</t>
  </si>
  <si>
    <t>DUITAMA</t>
  </si>
  <si>
    <t>SOGAMOSO</t>
  </si>
  <si>
    <t>MONIQUIRA</t>
  </si>
  <si>
    <t>TUNJA</t>
  </si>
  <si>
    <t>PUENTE NACIONAL</t>
  </si>
  <si>
    <t>LA DORADA</t>
  </si>
  <si>
    <t>NEIVA</t>
  </si>
  <si>
    <t>VILLAVICENCIO</t>
  </si>
  <si>
    <t>GUADUAS</t>
  </si>
  <si>
    <t>CENTRAL</t>
  </si>
  <si>
    <t>FUENTES</t>
  </si>
  <si>
    <t>META</t>
  </si>
  <si>
    <t>1 DIA</t>
  </si>
  <si>
    <t>FORMATO MODIFICADO DE ENCUESTAS DEL FONDO</t>
  </si>
  <si>
    <t>REPORTE DE RESOLUCION 256 DE 2016 DE SUPERSALUD</t>
  </si>
  <si>
    <t>5 dias Indicadores Calidad Supersalud - ffnn 1 dia</t>
  </si>
  <si>
    <t>CODIGO DANE DIVIPOLA</t>
  </si>
  <si>
    <t>MEDELLIN</t>
  </si>
  <si>
    <t>0</t>
  </si>
  <si>
    <t>BELLO</t>
  </si>
  <si>
    <t>FREDONIA</t>
  </si>
  <si>
    <t>AMAGA</t>
  </si>
  <si>
    <t>CALDAS</t>
  </si>
  <si>
    <t>COPACABANA</t>
  </si>
  <si>
    <t>GIRARDOTA</t>
  </si>
  <si>
    <t>BARBOSA</t>
  </si>
  <si>
    <t>CISNEROS</t>
  </si>
  <si>
    <t>CARACOLI</t>
  </si>
  <si>
    <t>PUERTO BERRIO</t>
  </si>
  <si>
    <t>PUERTO NARE</t>
  </si>
  <si>
    <t>AGUACHICA</t>
  </si>
  <si>
    <t>27</t>
  </si>
  <si>
    <t>123</t>
  </si>
  <si>
    <t>16</t>
  </si>
  <si>
    <t>20</t>
  </si>
  <si>
    <t>26</t>
  </si>
  <si>
    <t>21</t>
  </si>
  <si>
    <t>PAILITAS</t>
  </si>
  <si>
    <t>10</t>
  </si>
  <si>
    <t>PELAYA</t>
  </si>
  <si>
    <t>14</t>
  </si>
  <si>
    <t>GAMARRA</t>
  </si>
  <si>
    <t>18</t>
  </si>
  <si>
    <t>TAMALMEQUE</t>
  </si>
  <si>
    <t>8</t>
  </si>
  <si>
    <t>SANGIL</t>
  </si>
  <si>
    <t>1</t>
  </si>
  <si>
    <t>19</t>
  </si>
  <si>
    <t>BUCARAMANGA</t>
  </si>
  <si>
    <t>3469</t>
  </si>
  <si>
    <t>1154</t>
  </si>
  <si>
    <t>261</t>
  </si>
  <si>
    <t>313</t>
  </si>
  <si>
    <t>61</t>
  </si>
  <si>
    <t>29</t>
  </si>
  <si>
    <t>335</t>
  </si>
  <si>
    <t>51</t>
  </si>
  <si>
    <t>212</t>
  </si>
  <si>
    <t>BARRANCA</t>
  </si>
  <si>
    <t>44</t>
  </si>
  <si>
    <t>232</t>
  </si>
  <si>
    <t>36</t>
  </si>
  <si>
    <t>25</t>
  </si>
  <si>
    <t>05001</t>
  </si>
  <si>
    <t>05088</t>
  </si>
  <si>
    <t>05282</t>
  </si>
  <si>
    <t>05030</t>
  </si>
  <si>
    <t>05129</t>
  </si>
  <si>
    <t>05212</t>
  </si>
  <si>
    <t>05308</t>
  </si>
  <si>
    <t>05079</t>
  </si>
  <si>
    <t>05190</t>
  </si>
  <si>
    <t>05142</t>
  </si>
  <si>
    <t>05579</t>
  </si>
  <si>
    <t>05585</t>
  </si>
  <si>
    <t>20011</t>
  </si>
  <si>
    <t>20517</t>
  </si>
  <si>
    <t>20550</t>
  </si>
  <si>
    <t>20295</t>
  </si>
  <si>
    <t>20787</t>
  </si>
  <si>
    <t>68679</t>
  </si>
  <si>
    <t>68001</t>
  </si>
  <si>
    <t>68081</t>
  </si>
  <si>
    <t>CALI</t>
  </si>
  <si>
    <t>CARTAGO</t>
  </si>
  <si>
    <t>YUMBO</t>
  </si>
  <si>
    <t>BUENAVENTURA</t>
  </si>
  <si>
    <t>TULUA</t>
  </si>
  <si>
    <t>DAGUA</t>
  </si>
  <si>
    <t>MANIZALES</t>
  </si>
  <si>
    <t>ZARZAL</t>
  </si>
  <si>
    <t>TUMACO</t>
  </si>
  <si>
    <t>POPAYAN</t>
  </si>
  <si>
    <t>PEREIRA</t>
  </si>
  <si>
    <t>BUGA</t>
  </si>
  <si>
    <t>ARMENIA</t>
  </si>
  <si>
    <t>I SEMESTRE 2017</t>
  </si>
  <si>
    <t>BARRANQUILLA</t>
  </si>
  <si>
    <t>PUERTO COLOMBIA</t>
  </si>
  <si>
    <t>08001</t>
  </si>
  <si>
    <t>08573</t>
  </si>
  <si>
    <t>CARTAGENA</t>
  </si>
  <si>
    <t>SOPLAVIENTO</t>
  </si>
  <si>
    <t>SANTA MARTA</t>
  </si>
  <si>
    <t>CIENAGA</t>
  </si>
  <si>
    <t>FUNDACION</t>
  </si>
  <si>
    <t>VALLEDUPAR</t>
  </si>
  <si>
    <t>BOSCONIA</t>
  </si>
  <si>
    <t>CHIRIGUANA</t>
  </si>
  <si>
    <t>CURUMANI</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</si>
</sst>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52">
    <font>
      <sz val="10"/>
      <name val="Arial"/>
      <family val="0"/>
    </font>
    <font>
      <sz val="11"/>
      <color indexed="8"/>
      <name val="Calibri"/>
      <family val="2"/>
    </font>
    <font>
      <sz val="11"/>
      <name val="Arial Narrow"/>
      <family val="2"/>
    </font>
    <font>
      <b/>
      <sz val="11"/>
      <color indexed="23"/>
      <name val="Arial Narrow"/>
      <family val="2"/>
    </font>
    <font>
      <sz val="6"/>
      <name val="Arial Narrow"/>
      <family val="2"/>
    </font>
    <font>
      <b/>
      <sz val="11"/>
      <name val="Arial Narrow"/>
      <family val="2"/>
    </font>
    <font>
      <b/>
      <sz val="10"/>
      <name val="Arial"/>
      <family val="2"/>
    </font>
    <font>
      <sz val="10"/>
      <name val="Tahoma"/>
      <family val="2"/>
    </font>
    <font>
      <b/>
      <sz val="10"/>
      <name val="Tahoma"/>
      <family val="2"/>
    </font>
    <font>
      <sz val="8"/>
      <name val="Tahoma"/>
      <family val="2"/>
    </font>
    <font>
      <sz val="7"/>
      <name val="Tahoma"/>
      <family val="2"/>
    </font>
    <font>
      <sz val="10"/>
      <name val="Calibri"/>
      <family val="2"/>
    </font>
    <font>
      <b/>
      <sz val="10"/>
      <name val="Calibri"/>
      <family val="2"/>
    </font>
    <font>
      <b/>
      <sz val="10"/>
      <color indexed="23"/>
      <name val="Calibri"/>
      <family val="2"/>
    </font>
    <font>
      <b/>
      <sz val="10"/>
      <color indexed="8"/>
      <name val="Calibri"/>
      <family val="2"/>
    </font>
    <font>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Calibri"/>
      <family val="2"/>
    </font>
    <font>
      <sz val="10"/>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style="medium"/>
      <bottom style="medium"/>
    </border>
    <border>
      <left style="thin"/>
      <right style="thin"/>
      <top style="thin"/>
      <bottom style="thin"/>
    </border>
    <border>
      <left style="thin"/>
      <right style="thin"/>
      <top/>
      <bottom style="thin"/>
    </border>
    <border>
      <left style="thin"/>
      <right/>
      <top/>
      <bottom style="thin"/>
    </border>
    <border>
      <left style="thin"/>
      <right/>
      <top style="thin"/>
      <bottom/>
    </border>
    <border>
      <left style="thin"/>
      <right/>
      <top style="medium"/>
      <bottom style="thin"/>
    </border>
    <border>
      <left/>
      <right/>
      <top style="medium"/>
      <bottom style="thin"/>
    </border>
    <border>
      <left/>
      <right style="thin"/>
      <top style="medium"/>
      <bottom style="thin"/>
    </border>
    <border>
      <left style="thin"/>
      <right/>
      <top style="thin"/>
      <bottom style="thin"/>
    </border>
    <border>
      <left/>
      <right style="thin"/>
      <top style="thin"/>
      <bottom style="thin"/>
    </border>
    <border>
      <left style="thin"/>
      <right style="thin"/>
      <top style="medium"/>
      <bottom/>
    </border>
    <border>
      <left style="thin"/>
      <right style="thin"/>
      <top/>
      <bottom/>
    </border>
    <border>
      <left style="thin"/>
      <right style="thin"/>
      <top style="thin"/>
      <bottom/>
    </border>
    <border>
      <left style="thin"/>
      <right/>
      <top style="medium"/>
      <bottom style="medium"/>
    </border>
    <border>
      <left/>
      <right style="thin"/>
      <top style="medium"/>
      <bottom style="medium"/>
    </border>
    <border>
      <left/>
      <right/>
      <top style="thin"/>
      <bottom style="thin"/>
    </border>
    <border>
      <left/>
      <right style="thin"/>
      <top style="thin"/>
      <bottom/>
    </border>
    <border>
      <left style="thin"/>
      <right/>
      <top/>
      <bottom/>
    </border>
    <border>
      <left/>
      <right style="thin"/>
      <top/>
      <bottom/>
    </border>
    <border>
      <left/>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11">
    <xf numFmtId="0" fontId="0" fillId="0" borderId="0" xfId="0" applyAlignment="1">
      <alignment/>
    </xf>
    <xf numFmtId="1" fontId="0" fillId="0" borderId="0" xfId="0" applyNumberFormat="1" applyAlignment="1">
      <alignment/>
    </xf>
    <xf numFmtId="1" fontId="6" fillId="0" borderId="0" xfId="0" applyNumberFormat="1" applyFont="1" applyAlignment="1">
      <alignment horizontal="center"/>
    </xf>
    <xf numFmtId="1" fontId="6" fillId="0" borderId="0" xfId="0" applyNumberFormat="1" applyFont="1" applyAlignment="1">
      <alignment/>
    </xf>
    <xf numFmtId="1" fontId="0" fillId="0" borderId="10" xfId="0" applyNumberFormat="1" applyBorder="1" applyAlignment="1" applyProtection="1">
      <alignment/>
      <protection locked="0"/>
    </xf>
    <xf numFmtId="1" fontId="0" fillId="0" borderId="11" xfId="0" applyNumberFormat="1" applyBorder="1" applyAlignment="1" applyProtection="1">
      <alignment/>
      <protection locked="0"/>
    </xf>
    <xf numFmtId="0" fontId="0" fillId="0" borderId="0" xfId="0" applyFont="1" applyAlignment="1">
      <alignment/>
    </xf>
    <xf numFmtId="0" fontId="6" fillId="8" borderId="12" xfId="0" applyFont="1" applyFill="1" applyBorder="1" applyAlignment="1">
      <alignment horizontal="center" wrapText="1"/>
    </xf>
    <xf numFmtId="0" fontId="6" fillId="8" borderId="12" xfId="0" applyFont="1" applyFill="1" applyBorder="1" applyAlignment="1">
      <alignment horizontal="center" vertical="center" wrapText="1"/>
    </xf>
    <xf numFmtId="1" fontId="0" fillId="8" borderId="12" xfId="0" applyNumberFormat="1" applyFill="1" applyBorder="1" applyAlignment="1" applyProtection="1">
      <alignment horizontal="center"/>
      <protection locked="0"/>
    </xf>
    <xf numFmtId="0" fontId="0" fillId="8" borderId="12" xfId="0" applyFont="1" applyFill="1" applyBorder="1" applyAlignment="1">
      <alignment horizontal="center" vertical="center" wrapText="1"/>
    </xf>
    <xf numFmtId="1" fontId="6" fillId="8" borderId="13" xfId="0" applyNumberFormat="1" applyFont="1" applyFill="1" applyBorder="1" applyAlignment="1" applyProtection="1">
      <alignment horizontal="center" vertical="center" wrapText="1"/>
      <protection locked="0"/>
    </xf>
    <xf numFmtId="1" fontId="6" fillId="8" borderId="13" xfId="0" applyNumberFormat="1" applyFont="1" applyFill="1" applyBorder="1" applyAlignment="1" applyProtection="1">
      <alignment horizontal="center" vertical="center" wrapText="1"/>
      <protection locked="0"/>
    </xf>
    <xf numFmtId="1" fontId="6" fillId="8" borderId="12" xfId="0" applyNumberFormat="1" applyFont="1" applyFill="1" applyBorder="1" applyAlignment="1" applyProtection="1">
      <alignment vertical="center"/>
      <protection locked="0"/>
    </xf>
    <xf numFmtId="1" fontId="6" fillId="8" borderId="12" xfId="0" applyNumberFormat="1" applyFont="1" applyFill="1" applyBorder="1" applyAlignment="1" applyProtection="1">
      <alignment vertical="center"/>
      <protection locked="0"/>
    </xf>
    <xf numFmtId="0" fontId="11" fillId="0" borderId="12" xfId="0" applyNumberFormat="1" applyFont="1" applyBorder="1" applyAlignment="1" applyProtection="1">
      <alignment horizontal="right" vertical="center" wrapText="1"/>
      <protection locked="0"/>
    </xf>
    <xf numFmtId="0" fontId="11" fillId="0" borderId="12" xfId="0" applyNumberFormat="1" applyFont="1" applyFill="1" applyBorder="1" applyAlignment="1" applyProtection="1">
      <alignment horizontal="right" vertical="center" wrapText="1"/>
      <protection locked="0"/>
    </xf>
    <xf numFmtId="1" fontId="12" fillId="0" borderId="0" xfId="0" applyNumberFormat="1" applyFont="1" applyAlignment="1">
      <alignment horizontal="right"/>
    </xf>
    <xf numFmtId="1" fontId="11" fillId="0" borderId="0" xfId="0" applyNumberFormat="1" applyFont="1" applyAlignment="1">
      <alignment horizontal="right"/>
    </xf>
    <xf numFmtId="0" fontId="11" fillId="0" borderId="0" xfId="0" applyFont="1" applyAlignment="1">
      <alignment horizontal="right"/>
    </xf>
    <xf numFmtId="1" fontId="12" fillId="8" borderId="14" xfId="0" applyNumberFormat="1" applyFont="1" applyFill="1" applyBorder="1" applyAlignment="1" applyProtection="1">
      <alignment horizontal="right" vertical="center" wrapText="1"/>
      <protection locked="0"/>
    </xf>
    <xf numFmtId="0" fontId="11" fillId="0" borderId="12" xfId="0" applyFont="1" applyBorder="1" applyAlignment="1">
      <alignment horizontal="right"/>
    </xf>
    <xf numFmtId="164" fontId="11" fillId="0" borderId="12" xfId="0" applyNumberFormat="1" applyFont="1" applyBorder="1" applyAlignment="1">
      <alignment horizontal="right"/>
    </xf>
    <xf numFmtId="1" fontId="11" fillId="0" borderId="10" xfId="0" applyNumberFormat="1" applyFont="1" applyBorder="1" applyAlignment="1" applyProtection="1">
      <alignment horizontal="right"/>
      <protection locked="0"/>
    </xf>
    <xf numFmtId="1" fontId="11" fillId="0" borderId="11" xfId="0" applyNumberFormat="1" applyFont="1" applyBorder="1" applyAlignment="1" applyProtection="1">
      <alignment horizontal="right"/>
      <protection locked="0"/>
    </xf>
    <xf numFmtId="1" fontId="12" fillId="8" borderId="13" xfId="0" applyNumberFormat="1" applyFont="1" applyFill="1" applyBorder="1" applyAlignment="1" applyProtection="1">
      <alignment horizontal="right" vertical="center" wrapText="1"/>
      <protection locked="0"/>
    </xf>
    <xf numFmtId="49" fontId="11" fillId="0" borderId="12" xfId="0" applyNumberFormat="1" applyFont="1" applyBorder="1" applyAlignment="1" applyProtection="1">
      <alignment horizontal="right" vertical="center" wrapText="1"/>
      <protection locked="0"/>
    </xf>
    <xf numFmtId="0" fontId="11" fillId="0" borderId="12" xfId="0" applyFont="1" applyFill="1" applyBorder="1" applyAlignment="1">
      <alignment horizontal="right"/>
    </xf>
    <xf numFmtId="2" fontId="11" fillId="0" borderId="12" xfId="0" applyNumberFormat="1" applyFont="1" applyFill="1" applyBorder="1" applyAlignment="1">
      <alignment horizontal="right" vertical="center" wrapText="1"/>
    </xf>
    <xf numFmtId="1" fontId="11" fillId="0" borderId="12" xfId="0" applyNumberFormat="1" applyFont="1" applyFill="1" applyBorder="1" applyAlignment="1" applyProtection="1">
      <alignment horizontal="right" vertical="center" wrapText="1"/>
      <protection locked="0"/>
    </xf>
    <xf numFmtId="2" fontId="11" fillId="0" borderId="12" xfId="0" applyNumberFormat="1" applyFont="1" applyBorder="1" applyAlignment="1">
      <alignment horizontal="right" vertical="center" wrapText="1"/>
    </xf>
    <xf numFmtId="2" fontId="11" fillId="0" borderId="12" xfId="0" applyNumberFormat="1" applyFont="1" applyFill="1" applyBorder="1" applyAlignment="1">
      <alignment horizontal="right"/>
    </xf>
    <xf numFmtId="49" fontId="11" fillId="0" borderId="12" xfId="0" applyNumberFormat="1" applyFont="1" applyFill="1" applyBorder="1" applyAlignment="1" applyProtection="1">
      <alignment horizontal="right" vertical="center" wrapText="1"/>
      <protection locked="0"/>
    </xf>
    <xf numFmtId="2" fontId="11" fillId="0" borderId="12" xfId="0" applyNumberFormat="1" applyFont="1" applyBorder="1" applyAlignment="1">
      <alignment horizontal="right"/>
    </xf>
    <xf numFmtId="3" fontId="11" fillId="0" borderId="12" xfId="52" applyNumberFormat="1" applyFont="1" applyFill="1" applyBorder="1" applyAlignment="1" applyProtection="1">
      <alignment horizontal="right" vertical="center" wrapText="1"/>
      <protection locked="0"/>
    </xf>
    <xf numFmtId="164" fontId="12" fillId="0" borderId="12" xfId="0" applyNumberFormat="1" applyFont="1" applyBorder="1" applyAlignment="1">
      <alignment horizontal="right"/>
    </xf>
    <xf numFmtId="49" fontId="49" fillId="0" borderId="12" xfId="52" applyNumberFormat="1" applyFont="1" applyFill="1" applyBorder="1" applyAlignment="1" applyProtection="1">
      <alignment horizontal="right" vertical="center" wrapText="1"/>
      <protection locked="0"/>
    </xf>
    <xf numFmtId="49" fontId="14" fillId="0" borderId="12" xfId="52" applyNumberFormat="1" applyFont="1" applyFill="1" applyBorder="1" applyAlignment="1" applyProtection="1">
      <alignment horizontal="right" vertical="center" wrapText="1"/>
      <protection locked="0"/>
    </xf>
    <xf numFmtId="49" fontId="11" fillId="0" borderId="12" xfId="0" applyNumberFormat="1" applyFont="1" applyBorder="1" applyAlignment="1">
      <alignment horizontal="right"/>
    </xf>
    <xf numFmtId="1" fontId="11" fillId="0" borderId="12" xfId="0" applyNumberFormat="1" applyFont="1" applyBorder="1" applyAlignment="1">
      <alignment horizontal="right"/>
    </xf>
    <xf numFmtId="9" fontId="11" fillId="0" borderId="12" xfId="62" applyFont="1" applyBorder="1" applyAlignment="1">
      <alignment horizontal="right"/>
    </xf>
    <xf numFmtId="2" fontId="11" fillId="0" borderId="12" xfId="0" applyNumberFormat="1" applyFont="1" applyFill="1" applyBorder="1" applyAlignment="1" applyProtection="1">
      <alignment horizontal="right" vertical="center"/>
      <protection locked="0"/>
    </xf>
    <xf numFmtId="0" fontId="11" fillId="0" borderId="12" xfId="0" applyFont="1" applyBorder="1" applyAlignment="1">
      <alignment horizontal="right" vertical="center"/>
    </xf>
    <xf numFmtId="0" fontId="11" fillId="33" borderId="12" xfId="0" applyNumberFormat="1" applyFont="1" applyFill="1" applyBorder="1" applyAlignment="1">
      <alignment horizontal="right" vertical="center"/>
    </xf>
    <xf numFmtId="4" fontId="12" fillId="0" borderId="12" xfId="0" applyNumberFormat="1" applyFont="1" applyBorder="1" applyAlignment="1">
      <alignment horizontal="right" vertical="center"/>
    </xf>
    <xf numFmtId="2" fontId="12" fillId="0" borderId="12" xfId="0" applyNumberFormat="1" applyFont="1" applyBorder="1" applyAlignment="1">
      <alignment horizontal="right" vertical="center"/>
    </xf>
    <xf numFmtId="0" fontId="12" fillId="0" borderId="12" xfId="0" applyFont="1" applyBorder="1" applyAlignment="1">
      <alignment horizontal="right" vertical="center"/>
    </xf>
    <xf numFmtId="0" fontId="11" fillId="0" borderId="0" xfId="0" applyFont="1" applyFill="1" applyAlignment="1">
      <alignment horizontal="right" vertical="center"/>
    </xf>
    <xf numFmtId="49" fontId="50" fillId="34" borderId="12" xfId="0" applyNumberFormat="1" applyFont="1" applyFill="1" applyBorder="1" applyAlignment="1">
      <alignment horizontal="right" vertical="center"/>
    </xf>
    <xf numFmtId="2" fontId="11" fillId="0" borderId="12" xfId="0" applyNumberFormat="1" applyFont="1" applyBorder="1" applyAlignment="1">
      <alignment horizontal="right" vertical="center"/>
    </xf>
    <xf numFmtId="1" fontId="11" fillId="0" borderId="12" xfId="0" applyNumberFormat="1" applyFont="1" applyBorder="1" applyAlignment="1">
      <alignment horizontal="right" vertical="center"/>
    </xf>
    <xf numFmtId="9" fontId="11" fillId="0" borderId="12" xfId="62" applyFont="1" applyBorder="1" applyAlignment="1">
      <alignment horizontal="right" vertical="center"/>
    </xf>
    <xf numFmtId="1" fontId="11" fillId="0" borderId="12" xfId="52" applyNumberFormat="1" applyFont="1" applyBorder="1" applyAlignment="1" applyProtection="1">
      <alignment horizontal="right"/>
      <protection/>
    </xf>
    <xf numFmtId="1" fontId="11" fillId="0" borderId="12" xfId="52" applyNumberFormat="1" applyFont="1" applyBorder="1" applyAlignment="1">
      <alignment horizontal="right"/>
      <protection/>
    </xf>
    <xf numFmtId="1" fontId="6" fillId="8" borderId="15" xfId="0" applyNumberFormat="1" applyFont="1" applyFill="1" applyBorder="1" applyAlignment="1" applyProtection="1">
      <alignment horizontal="center" vertical="center"/>
      <protection locked="0"/>
    </xf>
    <xf numFmtId="1" fontId="6" fillId="8" borderId="14" xfId="0" applyNumberFormat="1" applyFont="1" applyFill="1" applyBorder="1" applyAlignment="1" applyProtection="1">
      <alignment horizontal="center" vertical="center"/>
      <protection locked="0"/>
    </xf>
    <xf numFmtId="2" fontId="6" fillId="8" borderId="15" xfId="0" applyNumberFormat="1" applyFont="1" applyFill="1" applyBorder="1" applyAlignment="1" applyProtection="1">
      <alignment horizontal="center" vertical="center"/>
      <protection locked="0"/>
    </xf>
    <xf numFmtId="2" fontId="6" fillId="8" borderId="14" xfId="0" applyNumberFormat="1" applyFont="1" applyFill="1" applyBorder="1" applyAlignment="1" applyProtection="1">
      <alignment horizontal="center" vertical="center"/>
      <protection locked="0"/>
    </xf>
    <xf numFmtId="1" fontId="6" fillId="8" borderId="16" xfId="0" applyNumberFormat="1" applyFont="1" applyFill="1" applyBorder="1" applyAlignment="1" applyProtection="1">
      <alignment horizontal="center" vertical="center"/>
      <protection locked="0"/>
    </xf>
    <xf numFmtId="1" fontId="6" fillId="8" borderId="17" xfId="0" applyNumberFormat="1" applyFont="1" applyFill="1" applyBorder="1" applyAlignment="1" applyProtection="1">
      <alignment horizontal="center" vertical="center"/>
      <protection locked="0"/>
    </xf>
    <xf numFmtId="1" fontId="6" fillId="8" borderId="18" xfId="0" applyNumberFormat="1" applyFont="1" applyFill="1" applyBorder="1" applyAlignment="1" applyProtection="1">
      <alignment horizontal="center" vertical="center"/>
      <protection locked="0"/>
    </xf>
    <xf numFmtId="1" fontId="6" fillId="8" borderId="19" xfId="0" applyNumberFormat="1" applyFont="1" applyFill="1" applyBorder="1" applyAlignment="1" applyProtection="1">
      <alignment horizontal="center"/>
      <protection locked="0"/>
    </xf>
    <xf numFmtId="1" fontId="6" fillId="8" borderId="20" xfId="0" applyNumberFormat="1" applyFont="1" applyFill="1" applyBorder="1" applyAlignment="1" applyProtection="1">
      <alignment horizontal="center"/>
      <protection locked="0"/>
    </xf>
    <xf numFmtId="1" fontId="6" fillId="8" borderId="21" xfId="0" applyNumberFormat="1" applyFont="1" applyFill="1" applyBorder="1" applyAlignment="1" applyProtection="1">
      <alignment horizontal="center" vertical="center" wrapText="1"/>
      <protection locked="0"/>
    </xf>
    <xf numFmtId="1" fontId="6" fillId="8" borderId="22" xfId="0" applyNumberFormat="1" applyFont="1" applyFill="1" applyBorder="1" applyAlignment="1" applyProtection="1">
      <alignment horizontal="center" vertical="center" wrapText="1"/>
      <protection locked="0"/>
    </xf>
    <xf numFmtId="1" fontId="6" fillId="8" borderId="13" xfId="0" applyNumberFormat="1" applyFont="1" applyFill="1" applyBorder="1" applyAlignment="1" applyProtection="1">
      <alignment horizontal="center" vertical="center" wrapText="1"/>
      <protection locked="0"/>
    </xf>
    <xf numFmtId="2" fontId="6" fillId="8" borderId="12" xfId="0" applyNumberFormat="1" applyFont="1" applyFill="1" applyBorder="1" applyAlignment="1" applyProtection="1">
      <alignment horizontal="center" vertical="center"/>
      <protection locked="0"/>
    </xf>
    <xf numFmtId="1" fontId="2" fillId="35" borderId="12" xfId="0" applyNumberFormat="1" applyFont="1" applyFill="1" applyBorder="1" applyAlignment="1">
      <alignment horizontal="center"/>
    </xf>
    <xf numFmtId="1" fontId="3" fillId="0" borderId="12" xfId="0" applyNumberFormat="1" applyFont="1" applyBorder="1" applyAlignment="1">
      <alignment horizontal="center" vertical="center" wrapText="1"/>
    </xf>
    <xf numFmtId="1" fontId="4" fillId="0" borderId="23" xfId="0" applyNumberFormat="1" applyFont="1" applyBorder="1" applyAlignment="1">
      <alignment horizontal="center" wrapText="1"/>
    </xf>
    <xf numFmtId="1" fontId="4" fillId="0" borderId="22" xfId="0" applyNumberFormat="1" applyFont="1" applyBorder="1" applyAlignment="1">
      <alignment horizontal="center" wrapText="1"/>
    </xf>
    <xf numFmtId="1" fontId="4" fillId="0" borderId="13" xfId="0" applyNumberFormat="1" applyFont="1" applyBorder="1" applyAlignment="1">
      <alignment horizontal="center" wrapText="1"/>
    </xf>
    <xf numFmtId="1" fontId="5" fillId="0" borderId="12" xfId="0" applyNumberFormat="1" applyFont="1" applyBorder="1" applyAlignment="1">
      <alignment horizontal="center" vertical="center" wrapText="1"/>
    </xf>
    <xf numFmtId="1" fontId="6" fillId="8" borderId="24" xfId="0" applyNumberFormat="1" applyFont="1" applyFill="1" applyBorder="1" applyAlignment="1" applyProtection="1">
      <alignment horizontal="center" vertical="center" wrapText="1"/>
      <protection locked="0"/>
    </xf>
    <xf numFmtId="1" fontId="6" fillId="8" borderId="11" xfId="0" applyNumberFormat="1" applyFont="1" applyFill="1" applyBorder="1" applyAlignment="1" applyProtection="1">
      <alignment horizontal="center" vertical="center" wrapText="1"/>
      <protection locked="0"/>
    </xf>
    <xf numFmtId="1" fontId="6" fillId="8" borderId="25" xfId="0" applyNumberFormat="1" applyFont="1" applyFill="1" applyBorder="1" applyAlignment="1" applyProtection="1">
      <alignment horizontal="center" vertical="center" wrapText="1"/>
      <protection locked="0"/>
    </xf>
    <xf numFmtId="1" fontId="6" fillId="8" borderId="11" xfId="0" applyNumberFormat="1" applyFont="1" applyFill="1" applyBorder="1" applyAlignment="1" applyProtection="1">
      <alignment horizontal="center" vertical="center" wrapText="1"/>
      <protection locked="0"/>
    </xf>
    <xf numFmtId="1" fontId="6" fillId="8" borderId="25" xfId="0" applyNumberFormat="1" applyFont="1" applyFill="1" applyBorder="1" applyAlignment="1" applyProtection="1">
      <alignment horizontal="center" vertical="center" wrapText="1"/>
      <protection locked="0"/>
    </xf>
    <xf numFmtId="1" fontId="6" fillId="8" borderId="17" xfId="0" applyNumberFormat="1" applyFont="1" applyFill="1" applyBorder="1" applyAlignment="1" applyProtection="1">
      <alignment horizontal="center" vertical="center"/>
      <protection locked="0"/>
    </xf>
    <xf numFmtId="1" fontId="6" fillId="8" borderId="18" xfId="0" applyNumberFormat="1" applyFont="1" applyFill="1" applyBorder="1" applyAlignment="1" applyProtection="1">
      <alignment horizontal="center" vertical="center"/>
      <protection locked="0"/>
    </xf>
    <xf numFmtId="1" fontId="6" fillId="8" borderId="16" xfId="0" applyNumberFormat="1" applyFont="1" applyFill="1" applyBorder="1" applyAlignment="1" applyProtection="1">
      <alignment horizontal="center" wrapText="1"/>
      <protection locked="0"/>
    </xf>
    <xf numFmtId="1" fontId="6" fillId="8" borderId="17" xfId="0" applyNumberFormat="1" applyFont="1" applyFill="1" applyBorder="1" applyAlignment="1" applyProtection="1">
      <alignment horizontal="center" wrapText="1"/>
      <protection locked="0"/>
    </xf>
    <xf numFmtId="1" fontId="6" fillId="8" borderId="18" xfId="0" applyNumberFormat="1" applyFont="1" applyFill="1" applyBorder="1" applyAlignment="1" applyProtection="1">
      <alignment horizontal="center" wrapText="1"/>
      <protection locked="0"/>
    </xf>
    <xf numFmtId="1" fontId="6" fillId="8" borderId="16" xfId="0" applyNumberFormat="1" applyFont="1" applyFill="1" applyBorder="1" applyAlignment="1" applyProtection="1">
      <alignment horizontal="center" vertical="center" wrapText="1"/>
      <protection locked="0"/>
    </xf>
    <xf numFmtId="1" fontId="6" fillId="8" borderId="17" xfId="0" applyNumberFormat="1" applyFont="1" applyFill="1" applyBorder="1" applyAlignment="1" applyProtection="1">
      <alignment horizontal="center" vertical="center" wrapText="1"/>
      <protection locked="0"/>
    </xf>
    <xf numFmtId="1" fontId="6" fillId="8" borderId="18" xfId="0" applyNumberFormat="1" applyFont="1" applyFill="1" applyBorder="1" applyAlignment="1" applyProtection="1">
      <alignment horizontal="center" vertical="center" wrapText="1"/>
      <protection locked="0"/>
    </xf>
    <xf numFmtId="2" fontId="6" fillId="8" borderId="12" xfId="0" applyNumberFormat="1" applyFont="1" applyFill="1" applyBorder="1" applyAlignment="1" applyProtection="1">
      <alignment horizontal="center" vertical="center"/>
      <protection locked="0"/>
    </xf>
    <xf numFmtId="1" fontId="6" fillId="8" borderId="19" xfId="0" applyNumberFormat="1" applyFont="1" applyFill="1" applyBorder="1" applyAlignment="1" applyProtection="1">
      <alignment horizontal="center" vertical="center"/>
      <protection locked="0"/>
    </xf>
    <xf numFmtId="1" fontId="6" fillId="8" borderId="26" xfId="0" applyNumberFormat="1" applyFont="1" applyFill="1" applyBorder="1" applyAlignment="1" applyProtection="1">
      <alignment horizontal="center" vertical="center"/>
      <protection locked="0"/>
    </xf>
    <xf numFmtId="1" fontId="6" fillId="8" borderId="12" xfId="0" applyNumberFormat="1" applyFont="1" applyFill="1" applyBorder="1" applyAlignment="1" applyProtection="1">
      <alignment horizontal="center" vertical="center"/>
      <protection locked="0"/>
    </xf>
    <xf numFmtId="1" fontId="13" fillId="0" borderId="12" xfId="0" applyNumberFormat="1" applyFont="1" applyBorder="1" applyAlignment="1">
      <alignment horizontal="right" vertical="center" wrapText="1"/>
    </xf>
    <xf numFmtId="1" fontId="12" fillId="0" borderId="12" xfId="0" applyNumberFormat="1" applyFont="1" applyBorder="1" applyAlignment="1">
      <alignment horizontal="right" vertical="center" wrapText="1"/>
    </xf>
    <xf numFmtId="1" fontId="12" fillId="8" borderId="21" xfId="0" applyNumberFormat="1" applyFont="1" applyFill="1" applyBorder="1" applyAlignment="1" applyProtection="1">
      <alignment horizontal="right" vertical="center" wrapText="1"/>
      <protection locked="0"/>
    </xf>
    <xf numFmtId="1" fontId="12" fillId="8" borderId="22" xfId="0" applyNumberFormat="1" applyFont="1" applyFill="1" applyBorder="1" applyAlignment="1" applyProtection="1">
      <alignment horizontal="right" vertical="center" wrapText="1"/>
      <protection locked="0"/>
    </xf>
    <xf numFmtId="1" fontId="12" fillId="8" borderId="13" xfId="0" applyNumberFormat="1" applyFont="1" applyFill="1" applyBorder="1" applyAlignment="1" applyProtection="1">
      <alignment horizontal="right" vertical="center" wrapText="1"/>
      <protection locked="0"/>
    </xf>
    <xf numFmtId="1" fontId="12" fillId="8" borderId="24" xfId="0" applyNumberFormat="1" applyFont="1" applyFill="1" applyBorder="1" applyAlignment="1" applyProtection="1">
      <alignment horizontal="right" vertical="center" wrapText="1"/>
      <protection locked="0"/>
    </xf>
    <xf numFmtId="1" fontId="12" fillId="8" borderId="11" xfId="0" applyNumberFormat="1" applyFont="1" applyFill="1" applyBorder="1" applyAlignment="1" applyProtection="1">
      <alignment horizontal="right" vertical="center" wrapText="1"/>
      <protection locked="0"/>
    </xf>
    <xf numFmtId="1" fontId="12" fillId="8" borderId="16" xfId="0" applyNumberFormat="1" applyFont="1" applyFill="1" applyBorder="1" applyAlignment="1" applyProtection="1">
      <alignment horizontal="right" wrapText="1"/>
      <protection locked="0"/>
    </xf>
    <xf numFmtId="1" fontId="12" fillId="8" borderId="17" xfId="0" applyNumberFormat="1" applyFont="1" applyFill="1" applyBorder="1" applyAlignment="1" applyProtection="1">
      <alignment horizontal="right" wrapText="1"/>
      <protection locked="0"/>
    </xf>
    <xf numFmtId="1" fontId="11" fillId="35" borderId="15" xfId="0" applyNumberFormat="1" applyFont="1" applyFill="1" applyBorder="1" applyAlignment="1">
      <alignment horizontal="right"/>
    </xf>
    <xf numFmtId="1" fontId="11" fillId="35" borderId="27" xfId="0" applyNumberFormat="1" applyFont="1" applyFill="1" applyBorder="1" applyAlignment="1">
      <alignment horizontal="right"/>
    </xf>
    <xf numFmtId="1" fontId="11" fillId="35" borderId="28" xfId="0" applyNumberFormat="1" applyFont="1" applyFill="1" applyBorder="1" applyAlignment="1">
      <alignment horizontal="right"/>
    </xf>
    <xf numFmtId="1" fontId="11" fillId="35" borderId="29" xfId="0" applyNumberFormat="1" applyFont="1" applyFill="1" applyBorder="1" applyAlignment="1">
      <alignment horizontal="right"/>
    </xf>
    <xf numFmtId="1" fontId="11" fillId="35" borderId="14" xfId="0" applyNumberFormat="1" applyFont="1" applyFill="1" applyBorder="1" applyAlignment="1">
      <alignment horizontal="right"/>
    </xf>
    <xf numFmtId="1" fontId="11" fillId="35" borderId="30" xfId="0" applyNumberFormat="1" applyFont="1" applyFill="1" applyBorder="1" applyAlignment="1">
      <alignment horizontal="right"/>
    </xf>
    <xf numFmtId="1" fontId="12" fillId="8" borderId="15" xfId="0" applyNumberFormat="1" applyFont="1" applyFill="1" applyBorder="1" applyAlignment="1" applyProtection="1">
      <alignment horizontal="right" vertical="center"/>
      <protection locked="0"/>
    </xf>
    <xf numFmtId="1" fontId="12" fillId="8" borderId="14" xfId="0" applyNumberFormat="1" applyFont="1" applyFill="1" applyBorder="1" applyAlignment="1" applyProtection="1">
      <alignment horizontal="right" vertical="center"/>
      <protection locked="0"/>
    </xf>
    <xf numFmtId="2" fontId="12" fillId="8" borderId="12" xfId="0" applyNumberFormat="1" applyFont="1" applyFill="1" applyBorder="1" applyAlignment="1" applyProtection="1">
      <alignment horizontal="right" vertical="center"/>
      <protection locked="0"/>
    </xf>
    <xf numFmtId="1" fontId="12" fillId="8" borderId="19" xfId="0" applyNumberFormat="1" applyFont="1" applyFill="1" applyBorder="1" applyAlignment="1" applyProtection="1">
      <alignment horizontal="right" vertical="center"/>
      <protection locked="0"/>
    </xf>
    <xf numFmtId="1" fontId="12" fillId="8" borderId="26" xfId="0" applyNumberFormat="1" applyFont="1" applyFill="1" applyBorder="1" applyAlignment="1" applyProtection="1">
      <alignment horizontal="right" vertical="center"/>
      <protection locked="0"/>
    </xf>
    <xf numFmtId="1" fontId="12" fillId="8" borderId="20" xfId="0" applyNumberFormat="1" applyFont="1" applyFill="1" applyBorder="1" applyAlignment="1" applyProtection="1">
      <alignment horizontal="right" vertical="center"/>
      <protection locked="0"/>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rmal 4" xfId="55"/>
    <cellStyle name="Normal 5" xfId="56"/>
    <cellStyle name="Normal 6" xfId="57"/>
    <cellStyle name="Normal 7" xfId="58"/>
    <cellStyle name="Normal 8" xfId="59"/>
    <cellStyle name="Notas" xfId="60"/>
    <cellStyle name="Percent" xfId="61"/>
    <cellStyle name="Porcentaje 2" xfId="62"/>
    <cellStyle name="Porcentaje 3" xfId="63"/>
    <cellStyle name="Porcentaje 3 2"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0</xdr:row>
      <xdr:rowOff>85725</xdr:rowOff>
    </xdr:from>
    <xdr:to>
      <xdr:col>5</xdr:col>
      <xdr:colOff>1304925</xdr:colOff>
      <xdr:row>3</xdr:row>
      <xdr:rowOff>47625</xdr:rowOff>
    </xdr:to>
    <xdr:pic>
      <xdr:nvPicPr>
        <xdr:cNvPr id="1" name="Picture 9"/>
        <xdr:cNvPicPr preferRelativeResize="1">
          <a:picLocks noChangeAspect="1"/>
        </xdr:cNvPicPr>
      </xdr:nvPicPr>
      <xdr:blipFill>
        <a:blip r:embed="rId1"/>
        <a:stretch>
          <a:fillRect/>
        </a:stretch>
      </xdr:blipFill>
      <xdr:spPr>
        <a:xfrm>
          <a:off x="5572125" y="85725"/>
          <a:ext cx="1247775" cy="447675"/>
        </a:xfrm>
        <a:prstGeom prst="rect">
          <a:avLst/>
        </a:prstGeom>
        <a:noFill/>
        <a:ln w="9525" cmpd="sng">
          <a:noFill/>
        </a:ln>
      </xdr:spPr>
    </xdr:pic>
    <xdr:clientData/>
  </xdr:twoCellAnchor>
  <xdr:twoCellAnchor>
    <xdr:from>
      <xdr:col>0</xdr:col>
      <xdr:colOff>266700</xdr:colOff>
      <xdr:row>0</xdr:row>
      <xdr:rowOff>66675</xdr:rowOff>
    </xdr:from>
    <xdr:to>
      <xdr:col>0</xdr:col>
      <xdr:colOff>762000</xdr:colOff>
      <xdr:row>4</xdr:row>
      <xdr:rowOff>123825</xdr:rowOff>
    </xdr:to>
    <xdr:pic>
      <xdr:nvPicPr>
        <xdr:cNvPr id="2" name="Picture 39"/>
        <xdr:cNvPicPr preferRelativeResize="1">
          <a:picLocks noChangeAspect="1"/>
        </xdr:cNvPicPr>
      </xdr:nvPicPr>
      <xdr:blipFill>
        <a:blip r:embed="rId2"/>
        <a:stretch>
          <a:fillRect/>
        </a:stretch>
      </xdr:blipFill>
      <xdr:spPr>
        <a:xfrm>
          <a:off x="266700" y="66675"/>
          <a:ext cx="4953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114300</xdr:rowOff>
    </xdr:from>
    <xdr:to>
      <xdr:col>1</xdr:col>
      <xdr:colOff>542925</xdr:colOff>
      <xdr:row>5</xdr:row>
      <xdr:rowOff>9525</xdr:rowOff>
    </xdr:to>
    <xdr:pic>
      <xdr:nvPicPr>
        <xdr:cNvPr id="1" name="Picture 39"/>
        <xdr:cNvPicPr preferRelativeResize="1">
          <a:picLocks noChangeAspect="1"/>
        </xdr:cNvPicPr>
      </xdr:nvPicPr>
      <xdr:blipFill>
        <a:blip r:embed="rId1"/>
        <a:stretch>
          <a:fillRect/>
        </a:stretch>
      </xdr:blipFill>
      <xdr:spPr>
        <a:xfrm>
          <a:off x="247650" y="114300"/>
          <a:ext cx="10572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25"/>
  <sheetViews>
    <sheetView zoomScalePageLayoutView="0" workbookViewId="0" topLeftCell="A1">
      <selection activeCell="A24" sqref="A24"/>
    </sheetView>
  </sheetViews>
  <sheetFormatPr defaultColWidth="11.421875" defaultRowHeight="12.75"/>
  <cols>
    <col min="3" max="3" width="19.7109375" style="0" customWidth="1"/>
    <col min="4" max="4" width="19.57421875" style="0" customWidth="1"/>
    <col min="5" max="5" width="20.57421875" style="0" customWidth="1"/>
    <col min="6" max="6" width="19.57421875" style="0" customWidth="1"/>
    <col min="9" max="9" width="12.8515625" style="0" bestFit="1" customWidth="1"/>
    <col min="10" max="10" width="14.8515625" style="0" bestFit="1" customWidth="1"/>
    <col min="11" max="11" width="12.28125" style="0" bestFit="1" customWidth="1"/>
    <col min="14" max="14" width="12.8515625" style="0" bestFit="1" customWidth="1"/>
    <col min="15" max="15" width="14.8515625" style="0" bestFit="1" customWidth="1"/>
    <col min="16" max="16" width="12.28125" style="0" bestFit="1" customWidth="1"/>
    <col min="19" max="19" width="12.8515625" style="0" bestFit="1" customWidth="1"/>
    <col min="20" max="20" width="14.8515625" style="0" bestFit="1" customWidth="1"/>
    <col min="21" max="21" width="12.28125" style="0" bestFit="1" customWidth="1"/>
    <col min="24" max="24" width="12.8515625" style="0" bestFit="1" customWidth="1"/>
    <col min="25" max="25" width="14.8515625" style="0" bestFit="1" customWidth="1"/>
    <col min="26" max="26" width="12.28125" style="0" bestFit="1" customWidth="1"/>
    <col min="29" max="29" width="12.8515625" style="0" bestFit="1" customWidth="1"/>
    <col min="30" max="30" width="14.8515625" style="0" bestFit="1" customWidth="1"/>
    <col min="34" max="34" width="12.8515625" style="0" bestFit="1" customWidth="1"/>
    <col min="35" max="35" width="14.8515625" style="0" bestFit="1" customWidth="1"/>
    <col min="39" max="39" width="12.8515625" style="0" bestFit="1" customWidth="1"/>
    <col min="40" max="40" width="14.8515625" style="0" bestFit="1" customWidth="1"/>
    <col min="41" max="41" width="12.28125" style="0" bestFit="1" customWidth="1"/>
    <col min="44" max="44" width="12.8515625" style="0" bestFit="1" customWidth="1"/>
    <col min="45" max="45" width="14.8515625" style="0" bestFit="1" customWidth="1"/>
    <col min="46" max="46" width="12.28125" style="0" bestFit="1" customWidth="1"/>
    <col min="49" max="49" width="12.8515625" style="0" bestFit="1" customWidth="1"/>
    <col min="50" max="50" width="14.8515625" style="0" bestFit="1" customWidth="1"/>
    <col min="54" max="54" width="12.8515625" style="0" bestFit="1" customWidth="1"/>
    <col min="55" max="55" width="14.8515625" style="0" bestFit="1" customWidth="1"/>
    <col min="56" max="56" width="12.28125" style="0" bestFit="1" customWidth="1"/>
    <col min="59" max="59" width="12.8515625" style="0" bestFit="1" customWidth="1"/>
    <col min="60" max="60" width="14.8515625" style="0" bestFit="1" customWidth="1"/>
    <col min="61" max="61" width="12.28125" style="0" bestFit="1" customWidth="1"/>
    <col min="64" max="64" width="12.8515625" style="0" bestFit="1" customWidth="1"/>
    <col min="65" max="65" width="14.8515625" style="0" bestFit="1" customWidth="1"/>
    <col min="69" max="69" width="12.8515625" style="0" bestFit="1" customWidth="1"/>
    <col min="70" max="70" width="14.8515625" style="0" bestFit="1" customWidth="1"/>
    <col min="74" max="74" width="12.8515625" style="0" bestFit="1" customWidth="1"/>
    <col min="75" max="75" width="14.8515625" style="0" bestFit="1" customWidth="1"/>
    <col min="76" max="76" width="12.28125" style="0" bestFit="1" customWidth="1"/>
    <col min="79" max="79" width="12.8515625" style="0" bestFit="1" customWidth="1"/>
    <col min="80" max="80" width="14.8515625" style="0" bestFit="1" customWidth="1"/>
    <col min="81" max="81" width="12.28125" style="0" bestFit="1" customWidth="1"/>
    <col min="84" max="84" width="12.8515625" style="0" bestFit="1" customWidth="1"/>
    <col min="85" max="85" width="14.8515625" style="0" bestFit="1" customWidth="1"/>
    <col min="86" max="86" width="12.28125" style="0" bestFit="1" customWidth="1"/>
    <col min="127" max="127" width="2.421875" style="0" customWidth="1"/>
    <col min="130" max="130" width="12.8515625" style="0" bestFit="1" customWidth="1"/>
    <col min="131" max="131" width="14.8515625" style="0" bestFit="1" customWidth="1"/>
    <col min="140" max="140" width="12.8515625" style="0" bestFit="1" customWidth="1"/>
    <col min="141" max="141" width="14.8515625" style="0" bestFit="1" customWidth="1"/>
    <col min="142" max="142" width="12.28125" style="0" bestFit="1" customWidth="1"/>
    <col min="145" max="145" width="12.8515625" style="0" bestFit="1" customWidth="1"/>
    <col min="146" max="146" width="14.8515625" style="0" bestFit="1" customWidth="1"/>
    <col min="147" max="147" width="12.28125" style="0" bestFit="1" customWidth="1"/>
    <col min="150" max="150" width="12.8515625" style="0" bestFit="1" customWidth="1"/>
    <col min="151" max="151" width="14.8515625" style="0" bestFit="1" customWidth="1"/>
    <col min="152" max="152" width="12.28125" style="0" bestFit="1" customWidth="1"/>
    <col min="155" max="155" width="12.8515625" style="0" bestFit="1" customWidth="1"/>
    <col min="156" max="156" width="14.8515625" style="0" bestFit="1" customWidth="1"/>
    <col min="157" max="157" width="12.28125" style="0" bestFit="1" customWidth="1"/>
  </cols>
  <sheetData>
    <row r="1" spans="1:6" ht="12.75">
      <c r="A1" s="67"/>
      <c r="B1" s="68" t="s">
        <v>0</v>
      </c>
      <c r="C1" s="68"/>
      <c r="D1" s="68"/>
      <c r="E1" s="68"/>
      <c r="F1" s="69"/>
    </row>
    <row r="2" spans="1:6" ht="12.75">
      <c r="A2" s="67"/>
      <c r="B2" s="68"/>
      <c r="C2" s="68"/>
      <c r="D2" s="68"/>
      <c r="E2" s="68"/>
      <c r="F2" s="70"/>
    </row>
    <row r="3" spans="1:6" ht="12.75">
      <c r="A3" s="67"/>
      <c r="B3" s="68"/>
      <c r="C3" s="68"/>
      <c r="D3" s="68"/>
      <c r="E3" s="68"/>
      <c r="F3" s="70"/>
    </row>
    <row r="4" spans="1:6" ht="12.75">
      <c r="A4" s="67"/>
      <c r="B4" s="72" t="s">
        <v>127</v>
      </c>
      <c r="C4" s="72"/>
      <c r="D4" s="72"/>
      <c r="E4" s="72"/>
      <c r="F4" s="70"/>
    </row>
    <row r="5" spans="1:6" ht="12.75">
      <c r="A5" s="67"/>
      <c r="B5" s="72"/>
      <c r="C5" s="72"/>
      <c r="D5" s="72"/>
      <c r="E5" s="72"/>
      <c r="F5" s="70"/>
    </row>
    <row r="6" spans="1:6" ht="12.75">
      <c r="A6" s="67"/>
      <c r="B6" s="72"/>
      <c r="C6" s="72"/>
      <c r="D6" s="72"/>
      <c r="E6" s="72"/>
      <c r="F6" s="71"/>
    </row>
    <row r="7" spans="1:6" ht="13.5" customHeight="1">
      <c r="A7" s="2"/>
      <c r="B7" s="2"/>
      <c r="C7" s="2"/>
      <c r="D7" s="2"/>
      <c r="E7" s="2"/>
      <c r="F7" s="2"/>
    </row>
    <row r="8" spans="1:6" ht="13.5" thickBot="1">
      <c r="A8" s="3" t="s">
        <v>5</v>
      </c>
      <c r="B8" s="1"/>
      <c r="C8" s="4"/>
      <c r="D8" s="4"/>
      <c r="E8" s="4"/>
      <c r="F8" s="4"/>
    </row>
    <row r="9" spans="1:6" ht="13.5" thickBot="1">
      <c r="A9" s="3" t="s">
        <v>6</v>
      </c>
      <c r="B9" s="1"/>
      <c r="C9" s="4"/>
      <c r="D9" s="4"/>
      <c r="E9" s="4"/>
      <c r="F9" s="4"/>
    </row>
    <row r="10" spans="1:6" ht="13.5" thickBot="1">
      <c r="A10" s="3" t="s">
        <v>1</v>
      </c>
      <c r="B10" s="1"/>
      <c r="C10" s="5"/>
      <c r="D10" s="5"/>
      <c r="E10" s="5"/>
      <c r="F10" s="5"/>
    </row>
    <row r="11" spans="1:6" ht="13.5" thickBot="1">
      <c r="A11" s="3" t="s">
        <v>4</v>
      </c>
      <c r="B11" s="1"/>
      <c r="C11" s="5"/>
      <c r="D11" s="5"/>
      <c r="E11" s="5"/>
      <c r="F11" s="5"/>
    </row>
    <row r="17" ht="13.5" thickBot="1"/>
    <row r="18" spans="1:126" ht="26.25" customHeight="1" thickBot="1">
      <c r="A18" s="63" t="s">
        <v>2</v>
      </c>
      <c r="B18" s="63" t="s">
        <v>3</v>
      </c>
      <c r="C18" s="63" t="s">
        <v>7</v>
      </c>
      <c r="D18" s="63" t="s">
        <v>8</v>
      </c>
      <c r="E18" s="63" t="s">
        <v>9</v>
      </c>
      <c r="F18" s="63" t="s">
        <v>16</v>
      </c>
      <c r="G18" s="73" t="s">
        <v>73</v>
      </c>
      <c r="H18" s="74"/>
      <c r="I18" s="74"/>
      <c r="J18" s="74"/>
      <c r="K18" s="75"/>
      <c r="L18" s="73" t="s">
        <v>72</v>
      </c>
      <c r="M18" s="74"/>
      <c r="N18" s="74"/>
      <c r="O18" s="74"/>
      <c r="P18" s="75"/>
      <c r="Q18" s="73" t="s">
        <v>71</v>
      </c>
      <c r="R18" s="76"/>
      <c r="S18" s="76"/>
      <c r="T18" s="76"/>
      <c r="U18" s="77"/>
      <c r="V18" s="73" t="s">
        <v>70</v>
      </c>
      <c r="W18" s="76"/>
      <c r="X18" s="76"/>
      <c r="Y18" s="76"/>
      <c r="Z18" s="77"/>
      <c r="AA18" s="73" t="s">
        <v>69</v>
      </c>
      <c r="AB18" s="76"/>
      <c r="AC18" s="76"/>
      <c r="AD18" s="76"/>
      <c r="AE18" s="77"/>
      <c r="AF18" s="73" t="s">
        <v>68</v>
      </c>
      <c r="AG18" s="76"/>
      <c r="AH18" s="76"/>
      <c r="AI18" s="76"/>
      <c r="AJ18" s="77"/>
      <c r="AK18" s="73" t="s">
        <v>67</v>
      </c>
      <c r="AL18" s="76"/>
      <c r="AM18" s="76"/>
      <c r="AN18" s="76"/>
      <c r="AO18" s="77"/>
      <c r="AP18" s="73" t="s">
        <v>66</v>
      </c>
      <c r="AQ18" s="76"/>
      <c r="AR18" s="76"/>
      <c r="AS18" s="76"/>
      <c r="AT18" s="77"/>
      <c r="AU18" s="73" t="s">
        <v>65</v>
      </c>
      <c r="AV18" s="76"/>
      <c r="AW18" s="76"/>
      <c r="AX18" s="76"/>
      <c r="AY18" s="77"/>
      <c r="AZ18" s="73" t="s">
        <v>64</v>
      </c>
      <c r="BA18" s="76"/>
      <c r="BB18" s="76"/>
      <c r="BC18" s="76"/>
      <c r="BD18" s="77"/>
      <c r="BE18" s="73" t="s">
        <v>63</v>
      </c>
      <c r="BF18" s="76"/>
      <c r="BG18" s="76"/>
      <c r="BH18" s="76"/>
      <c r="BI18" s="77"/>
      <c r="BJ18" s="73" t="s">
        <v>62</v>
      </c>
      <c r="BK18" s="76"/>
      <c r="BL18" s="76"/>
      <c r="BM18" s="76"/>
      <c r="BN18" s="77"/>
      <c r="BO18" s="73" t="s">
        <v>61</v>
      </c>
      <c r="BP18" s="76"/>
      <c r="BQ18" s="76"/>
      <c r="BR18" s="76"/>
      <c r="BS18" s="77"/>
      <c r="BT18" s="73" t="s">
        <v>60</v>
      </c>
      <c r="BU18" s="76"/>
      <c r="BV18" s="76"/>
      <c r="BW18" s="76"/>
      <c r="BX18" s="77"/>
      <c r="BY18" s="73" t="s">
        <v>59</v>
      </c>
      <c r="BZ18" s="76"/>
      <c r="CA18" s="76"/>
      <c r="CB18" s="76"/>
      <c r="CC18" s="77"/>
      <c r="CD18" s="73" t="s">
        <v>58</v>
      </c>
      <c r="CE18" s="76"/>
      <c r="CF18" s="76"/>
      <c r="CG18" s="76"/>
      <c r="CH18" s="77"/>
      <c r="CI18" s="73" t="s">
        <v>57</v>
      </c>
      <c r="CJ18" s="76"/>
      <c r="CK18" s="76"/>
      <c r="CL18" s="76"/>
      <c r="CM18" s="77"/>
      <c r="CN18" s="73" t="s">
        <v>56</v>
      </c>
      <c r="CO18" s="76"/>
      <c r="CP18" s="76"/>
      <c r="CQ18" s="76"/>
      <c r="CR18" s="77"/>
      <c r="CS18" s="73" t="s">
        <v>55</v>
      </c>
      <c r="CT18" s="76"/>
      <c r="CU18" s="76"/>
      <c r="CV18" s="76"/>
      <c r="CW18" s="77"/>
      <c r="CX18" s="73" t="s">
        <v>37</v>
      </c>
      <c r="CY18" s="76"/>
      <c r="CZ18" s="76"/>
      <c r="DA18" s="76"/>
      <c r="DB18" s="77"/>
      <c r="DC18" s="73" t="s">
        <v>54</v>
      </c>
      <c r="DD18" s="76"/>
      <c r="DE18" s="76"/>
      <c r="DF18" s="76"/>
      <c r="DG18" s="77"/>
      <c r="DH18" s="73" t="s">
        <v>53</v>
      </c>
      <c r="DI18" s="76"/>
      <c r="DJ18" s="76"/>
      <c r="DK18" s="76"/>
      <c r="DL18" s="77"/>
      <c r="DM18" s="73" t="s">
        <v>52</v>
      </c>
      <c r="DN18" s="76"/>
      <c r="DO18" s="76"/>
      <c r="DP18" s="76"/>
      <c r="DQ18" s="77"/>
      <c r="DR18" s="73" t="s">
        <v>51</v>
      </c>
      <c r="DS18" s="76"/>
      <c r="DT18" s="76"/>
      <c r="DU18" s="76"/>
      <c r="DV18" s="77"/>
    </row>
    <row r="19" spans="1:126" ht="26.25" customHeight="1">
      <c r="A19" s="64"/>
      <c r="B19" s="64"/>
      <c r="C19" s="64"/>
      <c r="D19" s="64"/>
      <c r="E19" s="64"/>
      <c r="F19" s="64"/>
      <c r="G19" s="58" t="s">
        <v>17</v>
      </c>
      <c r="H19" s="59"/>
      <c r="I19" s="59"/>
      <c r="J19" s="59"/>
      <c r="K19" s="60"/>
      <c r="L19" s="58" t="s">
        <v>18</v>
      </c>
      <c r="M19" s="59"/>
      <c r="N19" s="59"/>
      <c r="O19" s="59"/>
      <c r="P19" s="60"/>
      <c r="Q19" s="58" t="s">
        <v>19</v>
      </c>
      <c r="R19" s="78"/>
      <c r="S19" s="78"/>
      <c r="T19" s="78"/>
      <c r="U19" s="79"/>
      <c r="V19" s="83" t="s">
        <v>20</v>
      </c>
      <c r="W19" s="84"/>
      <c r="X19" s="84"/>
      <c r="Y19" s="84"/>
      <c r="Z19" s="85"/>
      <c r="AA19" s="83" t="s">
        <v>21</v>
      </c>
      <c r="AB19" s="84"/>
      <c r="AC19" s="84"/>
      <c r="AD19" s="84"/>
      <c r="AE19" s="85"/>
      <c r="AF19" s="80" t="s">
        <v>22</v>
      </c>
      <c r="AG19" s="81"/>
      <c r="AH19" s="81"/>
      <c r="AI19" s="81"/>
      <c r="AJ19" s="82"/>
      <c r="AK19" s="83" t="s">
        <v>23</v>
      </c>
      <c r="AL19" s="84"/>
      <c r="AM19" s="84"/>
      <c r="AN19" s="84"/>
      <c r="AO19" s="85"/>
      <c r="AP19" s="80" t="s">
        <v>24</v>
      </c>
      <c r="AQ19" s="81"/>
      <c r="AR19" s="81"/>
      <c r="AS19" s="81"/>
      <c r="AT19" s="82"/>
      <c r="AU19" s="83" t="s">
        <v>25</v>
      </c>
      <c r="AV19" s="84"/>
      <c r="AW19" s="84"/>
      <c r="AX19" s="84"/>
      <c r="AY19" s="85"/>
      <c r="AZ19" s="83" t="s">
        <v>26</v>
      </c>
      <c r="BA19" s="84"/>
      <c r="BB19" s="84"/>
      <c r="BC19" s="84"/>
      <c r="BD19" s="85"/>
      <c r="BE19" s="83" t="s">
        <v>27</v>
      </c>
      <c r="BF19" s="84"/>
      <c r="BG19" s="84"/>
      <c r="BH19" s="84"/>
      <c r="BI19" s="85"/>
      <c r="BJ19" s="83" t="s">
        <v>28</v>
      </c>
      <c r="BK19" s="84"/>
      <c r="BL19" s="84"/>
      <c r="BM19" s="84"/>
      <c r="BN19" s="85"/>
      <c r="BO19" s="80" t="s">
        <v>29</v>
      </c>
      <c r="BP19" s="81"/>
      <c r="BQ19" s="81"/>
      <c r="BR19" s="81"/>
      <c r="BS19" s="82"/>
      <c r="BT19" s="83" t="s">
        <v>30</v>
      </c>
      <c r="BU19" s="84"/>
      <c r="BV19" s="84"/>
      <c r="BW19" s="84"/>
      <c r="BX19" s="85"/>
      <c r="BY19" s="83" t="s">
        <v>31</v>
      </c>
      <c r="BZ19" s="84"/>
      <c r="CA19" s="84"/>
      <c r="CB19" s="84"/>
      <c r="CC19" s="85"/>
      <c r="CD19" s="80" t="s">
        <v>32</v>
      </c>
      <c r="CE19" s="81"/>
      <c r="CF19" s="81"/>
      <c r="CG19" s="81"/>
      <c r="CH19" s="82"/>
      <c r="CI19" s="83" t="s">
        <v>35</v>
      </c>
      <c r="CJ19" s="84"/>
      <c r="CK19" s="84"/>
      <c r="CL19" s="84"/>
      <c r="CM19" s="85"/>
      <c r="CN19" s="80" t="s">
        <v>34</v>
      </c>
      <c r="CO19" s="81"/>
      <c r="CP19" s="81"/>
      <c r="CQ19" s="81"/>
      <c r="CR19" s="82"/>
      <c r="CS19" s="80" t="s">
        <v>36</v>
      </c>
      <c r="CT19" s="81"/>
      <c r="CU19" s="81"/>
      <c r="CV19" s="81"/>
      <c r="CW19" s="82"/>
      <c r="CX19" s="80" t="s">
        <v>38</v>
      </c>
      <c r="CY19" s="81"/>
      <c r="CZ19" s="81"/>
      <c r="DA19" s="81"/>
      <c r="DB19" s="82"/>
      <c r="DC19" s="80" t="s">
        <v>39</v>
      </c>
      <c r="DD19" s="81"/>
      <c r="DE19" s="81"/>
      <c r="DF19" s="81"/>
      <c r="DG19" s="82"/>
      <c r="DH19" s="80" t="s">
        <v>40</v>
      </c>
      <c r="DI19" s="81"/>
      <c r="DJ19" s="81"/>
      <c r="DK19" s="81"/>
      <c r="DL19" s="82"/>
      <c r="DM19" s="80" t="s">
        <v>43</v>
      </c>
      <c r="DN19" s="81"/>
      <c r="DO19" s="81"/>
      <c r="DP19" s="81"/>
      <c r="DQ19" s="82"/>
      <c r="DR19" s="80" t="s">
        <v>44</v>
      </c>
      <c r="DS19" s="81"/>
      <c r="DT19" s="81"/>
      <c r="DU19" s="81"/>
      <c r="DV19" s="82"/>
    </row>
    <row r="20" spans="1:126" ht="12.75">
      <c r="A20" s="64"/>
      <c r="B20" s="64"/>
      <c r="C20" s="64"/>
      <c r="D20" s="64"/>
      <c r="E20" s="64"/>
      <c r="F20" s="64"/>
      <c r="G20" s="61" t="s">
        <v>13</v>
      </c>
      <c r="H20" s="62"/>
      <c r="I20" s="54" t="s">
        <v>10</v>
      </c>
      <c r="J20" s="54" t="s">
        <v>11</v>
      </c>
      <c r="K20" s="56" t="s">
        <v>12</v>
      </c>
      <c r="L20" s="61" t="s">
        <v>13</v>
      </c>
      <c r="M20" s="62"/>
      <c r="N20" s="54" t="s">
        <v>10</v>
      </c>
      <c r="O20" s="54" t="s">
        <v>11</v>
      </c>
      <c r="P20" s="66" t="s">
        <v>12</v>
      </c>
      <c r="Q20" s="61" t="s">
        <v>13</v>
      </c>
      <c r="R20" s="62"/>
      <c r="S20" s="54" t="s">
        <v>10</v>
      </c>
      <c r="T20" s="54" t="s">
        <v>11</v>
      </c>
      <c r="U20" s="66" t="s">
        <v>12</v>
      </c>
      <c r="V20" s="61" t="s">
        <v>13</v>
      </c>
      <c r="W20" s="62"/>
      <c r="X20" s="54" t="s">
        <v>10</v>
      </c>
      <c r="Y20" s="54" t="s">
        <v>11</v>
      </c>
      <c r="Z20" s="66" t="s">
        <v>12</v>
      </c>
      <c r="AA20" s="61" t="s">
        <v>13</v>
      </c>
      <c r="AB20" s="62"/>
      <c r="AC20" s="54" t="s">
        <v>10</v>
      </c>
      <c r="AD20" s="54" t="s">
        <v>11</v>
      </c>
      <c r="AE20" s="66" t="s">
        <v>12</v>
      </c>
      <c r="AF20" s="61" t="s">
        <v>13</v>
      </c>
      <c r="AG20" s="62"/>
      <c r="AH20" s="54" t="s">
        <v>10</v>
      </c>
      <c r="AI20" s="54" t="s">
        <v>11</v>
      </c>
      <c r="AJ20" s="66" t="s">
        <v>12</v>
      </c>
      <c r="AK20" s="61" t="s">
        <v>13</v>
      </c>
      <c r="AL20" s="62"/>
      <c r="AM20" s="54" t="s">
        <v>10</v>
      </c>
      <c r="AN20" s="54" t="s">
        <v>11</v>
      </c>
      <c r="AO20" s="66" t="s">
        <v>12</v>
      </c>
      <c r="AP20" s="61" t="s">
        <v>13</v>
      </c>
      <c r="AQ20" s="62"/>
      <c r="AR20" s="54" t="s">
        <v>10</v>
      </c>
      <c r="AS20" s="54" t="s">
        <v>11</v>
      </c>
      <c r="AT20" s="66" t="s">
        <v>12</v>
      </c>
      <c r="AU20" s="61" t="s">
        <v>13</v>
      </c>
      <c r="AV20" s="62"/>
      <c r="AW20" s="54" t="s">
        <v>10</v>
      </c>
      <c r="AX20" s="54" t="s">
        <v>11</v>
      </c>
      <c r="AY20" s="66" t="s">
        <v>12</v>
      </c>
      <c r="AZ20" s="61" t="s">
        <v>13</v>
      </c>
      <c r="BA20" s="62"/>
      <c r="BB20" s="54" t="s">
        <v>10</v>
      </c>
      <c r="BC20" s="54" t="s">
        <v>11</v>
      </c>
      <c r="BD20" s="66" t="s">
        <v>12</v>
      </c>
      <c r="BE20" s="61" t="s">
        <v>13</v>
      </c>
      <c r="BF20" s="62"/>
      <c r="BG20" s="54" t="s">
        <v>10</v>
      </c>
      <c r="BH20" s="54" t="s">
        <v>11</v>
      </c>
      <c r="BI20" s="66" t="s">
        <v>12</v>
      </c>
      <c r="BJ20" s="61" t="s">
        <v>13</v>
      </c>
      <c r="BK20" s="62"/>
      <c r="BL20" s="54" t="s">
        <v>10</v>
      </c>
      <c r="BM20" s="54" t="s">
        <v>11</v>
      </c>
      <c r="BN20" s="66" t="s">
        <v>12</v>
      </c>
      <c r="BO20" s="61" t="s">
        <v>13</v>
      </c>
      <c r="BP20" s="62"/>
      <c r="BQ20" s="54" t="s">
        <v>10</v>
      </c>
      <c r="BR20" s="54" t="s">
        <v>11</v>
      </c>
      <c r="BS20" s="66" t="s">
        <v>12</v>
      </c>
      <c r="BT20" s="61" t="s">
        <v>13</v>
      </c>
      <c r="BU20" s="62"/>
      <c r="BV20" s="54" t="s">
        <v>10</v>
      </c>
      <c r="BW20" s="86" t="s">
        <v>11</v>
      </c>
      <c r="BX20" s="66" t="s">
        <v>12</v>
      </c>
      <c r="BY20" s="61" t="s">
        <v>13</v>
      </c>
      <c r="BZ20" s="62"/>
      <c r="CA20" s="54" t="s">
        <v>10</v>
      </c>
      <c r="CB20" s="54" t="s">
        <v>11</v>
      </c>
      <c r="CC20" s="66" t="s">
        <v>12</v>
      </c>
      <c r="CD20" s="61" t="s">
        <v>13</v>
      </c>
      <c r="CE20" s="62"/>
      <c r="CF20" s="54" t="s">
        <v>10</v>
      </c>
      <c r="CG20" s="86" t="s">
        <v>11</v>
      </c>
      <c r="CH20" s="66" t="s">
        <v>12</v>
      </c>
      <c r="CI20" s="61" t="s">
        <v>13</v>
      </c>
      <c r="CJ20" s="62"/>
      <c r="CK20" s="54" t="s">
        <v>10</v>
      </c>
      <c r="CL20" s="86" t="s">
        <v>11</v>
      </c>
      <c r="CM20" s="66" t="s">
        <v>12</v>
      </c>
      <c r="CN20" s="61" t="s">
        <v>13</v>
      </c>
      <c r="CO20" s="62"/>
      <c r="CP20" s="54" t="s">
        <v>10</v>
      </c>
      <c r="CQ20" s="86" t="s">
        <v>11</v>
      </c>
      <c r="CR20" s="66" t="s">
        <v>12</v>
      </c>
      <c r="CS20" s="61" t="s">
        <v>13</v>
      </c>
      <c r="CT20" s="62"/>
      <c r="CU20" s="54" t="s">
        <v>10</v>
      </c>
      <c r="CV20" s="86" t="s">
        <v>11</v>
      </c>
      <c r="CW20" s="66" t="s">
        <v>12</v>
      </c>
      <c r="CX20" s="61" t="s">
        <v>13</v>
      </c>
      <c r="CY20" s="62"/>
      <c r="CZ20" s="54" t="s">
        <v>10</v>
      </c>
      <c r="DA20" s="86" t="s">
        <v>11</v>
      </c>
      <c r="DB20" s="66" t="s">
        <v>12</v>
      </c>
      <c r="DC20" s="61" t="s">
        <v>13</v>
      </c>
      <c r="DD20" s="62"/>
      <c r="DE20" s="54" t="s">
        <v>10</v>
      </c>
      <c r="DF20" s="86" t="s">
        <v>11</v>
      </c>
      <c r="DG20" s="66" t="s">
        <v>12</v>
      </c>
      <c r="DH20" s="61" t="s">
        <v>13</v>
      </c>
      <c r="DI20" s="62"/>
      <c r="DJ20" s="54" t="s">
        <v>10</v>
      </c>
      <c r="DK20" s="86" t="s">
        <v>11</v>
      </c>
      <c r="DL20" s="66" t="s">
        <v>12</v>
      </c>
      <c r="DM20" s="61" t="s">
        <v>13</v>
      </c>
      <c r="DN20" s="62"/>
      <c r="DO20" s="54" t="s">
        <v>10</v>
      </c>
      <c r="DP20" s="86" t="s">
        <v>11</v>
      </c>
      <c r="DQ20" s="66" t="s">
        <v>12</v>
      </c>
      <c r="DR20" s="61" t="s">
        <v>13</v>
      </c>
      <c r="DS20" s="62"/>
      <c r="DT20" s="54" t="s">
        <v>10</v>
      </c>
      <c r="DU20" s="86" t="s">
        <v>11</v>
      </c>
      <c r="DV20" s="66" t="s">
        <v>12</v>
      </c>
    </row>
    <row r="21" spans="1:126" ht="12.75">
      <c r="A21" s="65"/>
      <c r="B21" s="65"/>
      <c r="C21" s="65"/>
      <c r="D21" s="65"/>
      <c r="E21" s="65"/>
      <c r="F21" s="65"/>
      <c r="G21" s="9" t="s">
        <v>14</v>
      </c>
      <c r="H21" s="9" t="s">
        <v>15</v>
      </c>
      <c r="I21" s="55"/>
      <c r="J21" s="55"/>
      <c r="K21" s="57"/>
      <c r="L21" s="9" t="s">
        <v>14</v>
      </c>
      <c r="M21" s="9" t="s">
        <v>15</v>
      </c>
      <c r="N21" s="55"/>
      <c r="O21" s="55"/>
      <c r="P21" s="66"/>
      <c r="Q21" s="9" t="s">
        <v>14</v>
      </c>
      <c r="R21" s="9" t="s">
        <v>15</v>
      </c>
      <c r="S21" s="55"/>
      <c r="T21" s="55"/>
      <c r="U21" s="66"/>
      <c r="V21" s="9" t="s">
        <v>14</v>
      </c>
      <c r="W21" s="9" t="s">
        <v>15</v>
      </c>
      <c r="X21" s="55"/>
      <c r="Y21" s="55"/>
      <c r="Z21" s="66"/>
      <c r="AA21" s="9" t="s">
        <v>14</v>
      </c>
      <c r="AB21" s="9" t="s">
        <v>15</v>
      </c>
      <c r="AC21" s="55"/>
      <c r="AD21" s="55"/>
      <c r="AE21" s="66"/>
      <c r="AF21" s="9" t="s">
        <v>14</v>
      </c>
      <c r="AG21" s="9" t="s">
        <v>15</v>
      </c>
      <c r="AH21" s="55"/>
      <c r="AI21" s="55"/>
      <c r="AJ21" s="66"/>
      <c r="AK21" s="9" t="s">
        <v>14</v>
      </c>
      <c r="AL21" s="9" t="s">
        <v>15</v>
      </c>
      <c r="AM21" s="55"/>
      <c r="AN21" s="55"/>
      <c r="AO21" s="66"/>
      <c r="AP21" s="9" t="s">
        <v>14</v>
      </c>
      <c r="AQ21" s="9" t="s">
        <v>15</v>
      </c>
      <c r="AR21" s="55"/>
      <c r="AS21" s="55"/>
      <c r="AT21" s="66"/>
      <c r="AU21" s="9" t="s">
        <v>14</v>
      </c>
      <c r="AV21" s="9" t="s">
        <v>15</v>
      </c>
      <c r="AW21" s="55"/>
      <c r="AX21" s="55"/>
      <c r="AY21" s="66"/>
      <c r="AZ21" s="9" t="s">
        <v>14</v>
      </c>
      <c r="BA21" s="9" t="s">
        <v>15</v>
      </c>
      <c r="BB21" s="55"/>
      <c r="BC21" s="55"/>
      <c r="BD21" s="66"/>
      <c r="BE21" s="9" t="s">
        <v>14</v>
      </c>
      <c r="BF21" s="9" t="s">
        <v>15</v>
      </c>
      <c r="BG21" s="55"/>
      <c r="BH21" s="55"/>
      <c r="BI21" s="66"/>
      <c r="BJ21" s="9" t="s">
        <v>14</v>
      </c>
      <c r="BK21" s="9" t="s">
        <v>15</v>
      </c>
      <c r="BL21" s="55"/>
      <c r="BM21" s="55"/>
      <c r="BN21" s="66"/>
      <c r="BO21" s="9" t="s">
        <v>14</v>
      </c>
      <c r="BP21" s="9" t="s">
        <v>15</v>
      </c>
      <c r="BQ21" s="55"/>
      <c r="BR21" s="55"/>
      <c r="BS21" s="66"/>
      <c r="BT21" s="9" t="s">
        <v>14</v>
      </c>
      <c r="BU21" s="9" t="s">
        <v>15</v>
      </c>
      <c r="BV21" s="55"/>
      <c r="BW21" s="66"/>
      <c r="BX21" s="66"/>
      <c r="BY21" s="9" t="s">
        <v>14</v>
      </c>
      <c r="BZ21" s="9" t="s">
        <v>15</v>
      </c>
      <c r="CA21" s="55"/>
      <c r="CB21" s="55"/>
      <c r="CC21" s="66"/>
      <c r="CD21" s="9" t="s">
        <v>14</v>
      </c>
      <c r="CE21" s="9" t="s">
        <v>15</v>
      </c>
      <c r="CF21" s="55"/>
      <c r="CG21" s="66"/>
      <c r="CH21" s="66"/>
      <c r="CI21" s="9" t="s">
        <v>14</v>
      </c>
      <c r="CJ21" s="9" t="s">
        <v>15</v>
      </c>
      <c r="CK21" s="55"/>
      <c r="CL21" s="66"/>
      <c r="CM21" s="66"/>
      <c r="CN21" s="9" t="s">
        <v>14</v>
      </c>
      <c r="CO21" s="9" t="s">
        <v>15</v>
      </c>
      <c r="CP21" s="55"/>
      <c r="CQ21" s="66"/>
      <c r="CR21" s="66"/>
      <c r="CS21" s="9" t="s">
        <v>14</v>
      </c>
      <c r="CT21" s="9" t="s">
        <v>15</v>
      </c>
      <c r="CU21" s="55"/>
      <c r="CV21" s="66"/>
      <c r="CW21" s="66"/>
      <c r="CX21" s="9" t="s">
        <v>14</v>
      </c>
      <c r="CY21" s="9" t="s">
        <v>15</v>
      </c>
      <c r="CZ21" s="55"/>
      <c r="DA21" s="66"/>
      <c r="DB21" s="66"/>
      <c r="DC21" s="9" t="s">
        <v>14</v>
      </c>
      <c r="DD21" s="9" t="s">
        <v>15</v>
      </c>
      <c r="DE21" s="55"/>
      <c r="DF21" s="66"/>
      <c r="DG21" s="66"/>
      <c r="DH21" s="9" t="s">
        <v>14</v>
      </c>
      <c r="DI21" s="9" t="s">
        <v>15</v>
      </c>
      <c r="DJ21" s="55"/>
      <c r="DK21" s="66"/>
      <c r="DL21" s="66"/>
      <c r="DM21" s="9" t="s">
        <v>14</v>
      </c>
      <c r="DN21" s="9" t="s">
        <v>15</v>
      </c>
      <c r="DO21" s="55"/>
      <c r="DP21" s="66"/>
      <c r="DQ21" s="66"/>
      <c r="DR21" s="9" t="s">
        <v>14</v>
      </c>
      <c r="DS21" s="9" t="s">
        <v>15</v>
      </c>
      <c r="DT21" s="55"/>
      <c r="DU21" s="66"/>
      <c r="DV21" s="66"/>
    </row>
    <row r="22" spans="1:126" ht="12.75">
      <c r="A22" s="12" t="s">
        <v>157</v>
      </c>
      <c r="B22" s="11"/>
      <c r="C22" s="11"/>
      <c r="D22" s="13"/>
      <c r="E22" s="13"/>
      <c r="F22" s="13"/>
      <c r="G22" s="89" t="s">
        <v>45</v>
      </c>
      <c r="H22" s="89"/>
      <c r="I22" s="89"/>
      <c r="J22" s="89"/>
      <c r="K22" s="89"/>
      <c r="L22" s="89" t="s">
        <v>45</v>
      </c>
      <c r="M22" s="89"/>
      <c r="N22" s="89"/>
      <c r="O22" s="89"/>
      <c r="P22" s="89"/>
      <c r="Q22" s="89" t="s">
        <v>45</v>
      </c>
      <c r="R22" s="89"/>
      <c r="S22" s="89"/>
      <c r="T22" s="89"/>
      <c r="U22" s="89"/>
      <c r="V22" s="89" t="s">
        <v>45</v>
      </c>
      <c r="W22" s="89"/>
      <c r="X22" s="89"/>
      <c r="Y22" s="89"/>
      <c r="Z22" s="89"/>
      <c r="AA22" s="89" t="s">
        <v>45</v>
      </c>
      <c r="AB22" s="89"/>
      <c r="AC22" s="89"/>
      <c r="AD22" s="89"/>
      <c r="AE22" s="89"/>
      <c r="AF22" s="89" t="s">
        <v>45</v>
      </c>
      <c r="AG22" s="89"/>
      <c r="AH22" s="89"/>
      <c r="AI22" s="89"/>
      <c r="AJ22" s="89"/>
      <c r="AK22" s="89" t="s">
        <v>45</v>
      </c>
      <c r="AL22" s="89"/>
      <c r="AM22" s="89"/>
      <c r="AN22" s="89"/>
      <c r="AO22" s="89"/>
      <c r="AP22" s="89" t="s">
        <v>46</v>
      </c>
      <c r="AQ22" s="89"/>
      <c r="AR22" s="89"/>
      <c r="AS22" s="89"/>
      <c r="AT22" s="89"/>
      <c r="AU22" s="89" t="s">
        <v>46</v>
      </c>
      <c r="AV22" s="89"/>
      <c r="AW22" s="89"/>
      <c r="AX22" s="89"/>
      <c r="AY22" s="89"/>
      <c r="AZ22" s="89" t="s">
        <v>47</v>
      </c>
      <c r="BA22" s="89"/>
      <c r="BB22" s="89"/>
      <c r="BC22" s="89"/>
      <c r="BD22" s="89"/>
      <c r="BE22" s="89" t="s">
        <v>47</v>
      </c>
      <c r="BF22" s="89"/>
      <c r="BG22" s="89"/>
      <c r="BH22" s="89"/>
      <c r="BI22" s="89"/>
      <c r="BJ22" s="89" t="s">
        <v>47</v>
      </c>
      <c r="BK22" s="89"/>
      <c r="BL22" s="89"/>
      <c r="BM22" s="89"/>
      <c r="BN22" s="89"/>
      <c r="BO22" s="89" t="s">
        <v>48</v>
      </c>
      <c r="BP22" s="89"/>
      <c r="BQ22" s="89"/>
      <c r="BR22" s="89"/>
      <c r="BS22" s="89"/>
      <c r="BT22" s="89" t="s">
        <v>49</v>
      </c>
      <c r="BU22" s="89"/>
      <c r="BV22" s="89"/>
      <c r="BW22" s="89"/>
      <c r="BX22" s="89"/>
      <c r="BY22" s="89" t="s">
        <v>50</v>
      </c>
      <c r="BZ22" s="89"/>
      <c r="CA22" s="89"/>
      <c r="CB22" s="89"/>
      <c r="CC22" s="89"/>
      <c r="CD22" s="89" t="s">
        <v>50</v>
      </c>
      <c r="CE22" s="89"/>
      <c r="CF22" s="89"/>
      <c r="CG22" s="89"/>
      <c r="CH22" s="89"/>
      <c r="CI22" s="89" t="s">
        <v>50</v>
      </c>
      <c r="CJ22" s="89"/>
      <c r="CK22" s="89"/>
      <c r="CL22" s="89"/>
      <c r="CM22" s="89"/>
      <c r="CN22" s="89" t="s">
        <v>41</v>
      </c>
      <c r="CO22" s="89"/>
      <c r="CP22" s="89"/>
      <c r="CQ22" s="89"/>
      <c r="CR22" s="89"/>
      <c r="CS22" s="89" t="s">
        <v>41</v>
      </c>
      <c r="CT22" s="89"/>
      <c r="CU22" s="89"/>
      <c r="CV22" s="89"/>
      <c r="CW22" s="89"/>
      <c r="CX22" s="89" t="s">
        <v>42</v>
      </c>
      <c r="CY22" s="89"/>
      <c r="CZ22" s="89"/>
      <c r="DA22" s="89"/>
      <c r="DB22" s="89"/>
      <c r="DC22" s="89" t="s">
        <v>41</v>
      </c>
      <c r="DD22" s="89"/>
      <c r="DE22" s="89"/>
      <c r="DF22" s="89"/>
      <c r="DG22" s="89"/>
      <c r="DH22" s="89" t="s">
        <v>41</v>
      </c>
      <c r="DI22" s="89"/>
      <c r="DJ22" s="89"/>
      <c r="DK22" s="89"/>
      <c r="DL22" s="89"/>
      <c r="DM22" s="89" t="s">
        <v>41</v>
      </c>
      <c r="DN22" s="89"/>
      <c r="DO22" s="89"/>
      <c r="DP22" s="89"/>
      <c r="DQ22" s="89"/>
      <c r="DR22" s="89" t="s">
        <v>41</v>
      </c>
      <c r="DS22" s="89"/>
      <c r="DT22" s="89"/>
      <c r="DU22" s="89"/>
      <c r="DV22" s="89"/>
    </row>
    <row r="23" spans="1:126" ht="12.75">
      <c r="A23" s="12" t="s">
        <v>158</v>
      </c>
      <c r="B23" s="11"/>
      <c r="C23" s="11"/>
      <c r="D23" s="14"/>
      <c r="E23" s="14"/>
      <c r="F23" s="14"/>
      <c r="G23" s="87"/>
      <c r="H23" s="88"/>
      <c r="I23" s="88"/>
      <c r="J23" s="88"/>
      <c r="K23" s="88"/>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t="s">
        <v>33</v>
      </c>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row>
    <row r="24" spans="7:122" ht="12.75">
      <c r="G24" s="6"/>
      <c r="L24" s="6"/>
      <c r="Q24" s="6"/>
      <c r="V24" s="6"/>
      <c r="AA24" s="6"/>
      <c r="AF24" s="6"/>
      <c r="AK24" s="6"/>
      <c r="AP24" s="6"/>
      <c r="AU24" s="6"/>
      <c r="AZ24" s="6"/>
      <c r="BE24" s="6"/>
      <c r="BJ24" s="6"/>
      <c r="BO24" s="6"/>
      <c r="BT24" s="6"/>
      <c r="BY24" s="6"/>
      <c r="CD24" s="6"/>
      <c r="CI24" s="6"/>
      <c r="CN24" s="6"/>
      <c r="CS24" s="6"/>
      <c r="CX24" s="6"/>
      <c r="DC24" s="6"/>
      <c r="DH24" s="6"/>
      <c r="DM24" s="6"/>
      <c r="DR24" s="6"/>
    </row>
    <row r="25" ht="12.75">
      <c r="CD25" s="6"/>
    </row>
  </sheetData>
  <sheetProtection/>
  <mergeCells count="202">
    <mergeCell ref="DC22:DG22"/>
    <mergeCell ref="DC23:DG23"/>
    <mergeCell ref="DH22:DL22"/>
    <mergeCell ref="DH23:DL23"/>
    <mergeCell ref="DM22:DQ22"/>
    <mergeCell ref="DM23:DQ23"/>
    <mergeCell ref="DR22:DV22"/>
    <mergeCell ref="DR23:DV23"/>
    <mergeCell ref="CD22:CH22"/>
    <mergeCell ref="CD23:CH23"/>
    <mergeCell ref="CI22:CM22"/>
    <mergeCell ref="CI23:CM23"/>
    <mergeCell ref="CN22:CR22"/>
    <mergeCell ref="CN23:CR23"/>
    <mergeCell ref="CS22:CW22"/>
    <mergeCell ref="CS23:CW23"/>
    <mergeCell ref="CX22:DB22"/>
    <mergeCell ref="CX23:DB23"/>
    <mergeCell ref="BE22:BI22"/>
    <mergeCell ref="BE23:BI23"/>
    <mergeCell ref="BJ22:BN22"/>
    <mergeCell ref="BJ23:BN23"/>
    <mergeCell ref="BO22:BS22"/>
    <mergeCell ref="BO23:BS23"/>
    <mergeCell ref="BT22:BX22"/>
    <mergeCell ref="BT23:BX23"/>
    <mergeCell ref="BY22:CC22"/>
    <mergeCell ref="BY23:CC23"/>
    <mergeCell ref="AF22:AJ22"/>
    <mergeCell ref="AF23:AJ23"/>
    <mergeCell ref="AK22:AO22"/>
    <mergeCell ref="AK23:AO23"/>
    <mergeCell ref="AP22:AT22"/>
    <mergeCell ref="AP23:AT23"/>
    <mergeCell ref="AU22:AY22"/>
    <mergeCell ref="AU23:AY23"/>
    <mergeCell ref="AZ22:BD22"/>
    <mergeCell ref="AZ23:BD23"/>
    <mergeCell ref="G23:K23"/>
    <mergeCell ref="L23:P23"/>
    <mergeCell ref="Q23:U23"/>
    <mergeCell ref="V23:Z23"/>
    <mergeCell ref="AA23:AE23"/>
    <mergeCell ref="G22:K22"/>
    <mergeCell ref="L22:P22"/>
    <mergeCell ref="Q22:U22"/>
    <mergeCell ref="V22:Z22"/>
    <mergeCell ref="AA22:AE22"/>
    <mergeCell ref="DR18:DV18"/>
    <mergeCell ref="DR19:DV19"/>
    <mergeCell ref="DR20:DS20"/>
    <mergeCell ref="DT20:DT21"/>
    <mergeCell ref="DU20:DU21"/>
    <mergeCell ref="DV20:DV21"/>
    <mergeCell ref="DM18:DQ18"/>
    <mergeCell ref="DM19:DQ19"/>
    <mergeCell ref="DM20:DN20"/>
    <mergeCell ref="DO20:DO21"/>
    <mergeCell ref="DP20:DP21"/>
    <mergeCell ref="DQ20:DQ21"/>
    <mergeCell ref="DH18:DL18"/>
    <mergeCell ref="DH19:DL19"/>
    <mergeCell ref="DH20:DI20"/>
    <mergeCell ref="DJ20:DJ21"/>
    <mergeCell ref="DK20:DK21"/>
    <mergeCell ref="DL20:DL21"/>
    <mergeCell ref="DC18:DG18"/>
    <mergeCell ref="DC19:DG19"/>
    <mergeCell ref="DC20:DD20"/>
    <mergeCell ref="DE20:DE21"/>
    <mergeCell ref="DF20:DF21"/>
    <mergeCell ref="DG20:DG21"/>
    <mergeCell ref="CX18:DB18"/>
    <mergeCell ref="CX19:DB19"/>
    <mergeCell ref="CX20:CY20"/>
    <mergeCell ref="CZ20:CZ21"/>
    <mergeCell ref="DA20:DA21"/>
    <mergeCell ref="DB20:DB21"/>
    <mergeCell ref="CS18:CW18"/>
    <mergeCell ref="CS19:CW19"/>
    <mergeCell ref="CS20:CT20"/>
    <mergeCell ref="CU20:CU21"/>
    <mergeCell ref="CV20:CV21"/>
    <mergeCell ref="CW20:CW21"/>
    <mergeCell ref="CN18:CR18"/>
    <mergeCell ref="CN19:CR19"/>
    <mergeCell ref="CN20:CO20"/>
    <mergeCell ref="CP20:CP21"/>
    <mergeCell ref="CQ20:CQ21"/>
    <mergeCell ref="CR20:CR21"/>
    <mergeCell ref="CI18:CM18"/>
    <mergeCell ref="CI19:CM19"/>
    <mergeCell ref="CI20:CJ20"/>
    <mergeCell ref="CK20:CK21"/>
    <mergeCell ref="CL20:CL21"/>
    <mergeCell ref="CM20:CM21"/>
    <mergeCell ref="CD18:CH18"/>
    <mergeCell ref="CD19:CH19"/>
    <mergeCell ref="CD20:CE20"/>
    <mergeCell ref="CF20:CF21"/>
    <mergeCell ref="CG20:CG21"/>
    <mergeCell ref="CH20:CH21"/>
    <mergeCell ref="BY18:CC18"/>
    <mergeCell ref="BY19:CC19"/>
    <mergeCell ref="BY20:BZ20"/>
    <mergeCell ref="CA20:CA21"/>
    <mergeCell ref="CB20:CB21"/>
    <mergeCell ref="CC20:CC21"/>
    <mergeCell ref="BT18:BX18"/>
    <mergeCell ref="BT19:BX19"/>
    <mergeCell ref="BT20:BU20"/>
    <mergeCell ref="BV20:BV21"/>
    <mergeCell ref="BW20:BW21"/>
    <mergeCell ref="BX20:BX21"/>
    <mergeCell ref="BO18:BS18"/>
    <mergeCell ref="BO19:BS19"/>
    <mergeCell ref="BO20:BP20"/>
    <mergeCell ref="BQ20:BQ21"/>
    <mergeCell ref="BR20:BR21"/>
    <mergeCell ref="BS20:BS21"/>
    <mergeCell ref="BJ18:BN18"/>
    <mergeCell ref="BJ19:BN19"/>
    <mergeCell ref="BJ20:BK20"/>
    <mergeCell ref="BL20:BL21"/>
    <mergeCell ref="BM20:BM21"/>
    <mergeCell ref="BN20:BN21"/>
    <mergeCell ref="BE18:BI18"/>
    <mergeCell ref="BE19:BI19"/>
    <mergeCell ref="BE20:BF20"/>
    <mergeCell ref="BG20:BG21"/>
    <mergeCell ref="BH20:BH21"/>
    <mergeCell ref="BI20:BI21"/>
    <mergeCell ref="AZ18:BD18"/>
    <mergeCell ref="AZ19:BD19"/>
    <mergeCell ref="AZ20:BA20"/>
    <mergeCell ref="BB20:BB21"/>
    <mergeCell ref="BC20:BC21"/>
    <mergeCell ref="BD20:BD21"/>
    <mergeCell ref="AU18:AY18"/>
    <mergeCell ref="AU19:AY19"/>
    <mergeCell ref="AU20:AV20"/>
    <mergeCell ref="AW20:AW21"/>
    <mergeCell ref="AX20:AX21"/>
    <mergeCell ref="AY20:AY21"/>
    <mergeCell ref="AP18:AT18"/>
    <mergeCell ref="AP19:AT19"/>
    <mergeCell ref="AP20:AQ20"/>
    <mergeCell ref="AR20:AR21"/>
    <mergeCell ref="AS20:AS21"/>
    <mergeCell ref="AT20:AT21"/>
    <mergeCell ref="AK18:AO18"/>
    <mergeCell ref="AK19:AO19"/>
    <mergeCell ref="AK20:AL20"/>
    <mergeCell ref="AM20:AM21"/>
    <mergeCell ref="AN20:AN21"/>
    <mergeCell ref="AO20:AO21"/>
    <mergeCell ref="AE20:AE21"/>
    <mergeCell ref="AF18:AJ18"/>
    <mergeCell ref="AF19:AJ19"/>
    <mergeCell ref="AF20:AG20"/>
    <mergeCell ref="AH20:AH21"/>
    <mergeCell ref="AI20:AI21"/>
    <mergeCell ref="AJ20:AJ21"/>
    <mergeCell ref="V19:Z19"/>
    <mergeCell ref="V20:W20"/>
    <mergeCell ref="X20:X21"/>
    <mergeCell ref="Y20:Y21"/>
    <mergeCell ref="Z20:Z21"/>
    <mergeCell ref="AA18:AE18"/>
    <mergeCell ref="AA19:AE19"/>
    <mergeCell ref="AA20:AB20"/>
    <mergeCell ref="AC20:AC21"/>
    <mergeCell ref="AD20:AD21"/>
    <mergeCell ref="A1:A6"/>
    <mergeCell ref="B1:E3"/>
    <mergeCell ref="F1:F6"/>
    <mergeCell ref="B4:E6"/>
    <mergeCell ref="L18:P18"/>
    <mergeCell ref="V18:Z18"/>
    <mergeCell ref="G18:K18"/>
    <mergeCell ref="Q18:U18"/>
    <mergeCell ref="Q19:U19"/>
    <mergeCell ref="Q20:R20"/>
    <mergeCell ref="S20:S21"/>
    <mergeCell ref="T20:T21"/>
    <mergeCell ref="U20:U21"/>
    <mergeCell ref="L20:M20"/>
    <mergeCell ref="N20:N21"/>
    <mergeCell ref="O20:O21"/>
    <mergeCell ref="P20:P21"/>
    <mergeCell ref="L19:P19"/>
    <mergeCell ref="I20:I21"/>
    <mergeCell ref="J20:J21"/>
    <mergeCell ref="K20:K21"/>
    <mergeCell ref="G19:K19"/>
    <mergeCell ref="G20:H20"/>
    <mergeCell ref="A18:A21"/>
    <mergeCell ref="B18:B21"/>
    <mergeCell ref="C18:C21"/>
    <mergeCell ref="D18:D21"/>
    <mergeCell ref="E18:E21"/>
    <mergeCell ref="F18:F21"/>
  </mergeCell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P3"/>
  <sheetViews>
    <sheetView zoomScalePageLayoutView="0" workbookViewId="0" topLeftCell="A1">
      <selection activeCell="A3" sqref="A3:IV3"/>
    </sheetView>
  </sheetViews>
  <sheetFormatPr defaultColWidth="11.421875" defaultRowHeight="12.75"/>
  <cols>
    <col min="3" max="3" width="21.00390625" style="0" bestFit="1" customWidth="1"/>
    <col min="4" max="4" width="35.8515625" style="0" customWidth="1"/>
    <col min="5" max="5" width="32.00390625" style="0" bestFit="1" customWidth="1"/>
    <col min="6" max="7" width="50.7109375" style="0" bestFit="1" customWidth="1"/>
    <col min="8" max="9" width="51.8515625" style="0" customWidth="1"/>
    <col min="10" max="10" width="24.8515625" style="0" bestFit="1" customWidth="1"/>
    <col min="11" max="11" width="15.8515625" style="0" bestFit="1" customWidth="1"/>
    <col min="12" max="12" width="17.7109375" style="0" customWidth="1"/>
    <col min="13" max="13" width="19.7109375" style="0" customWidth="1"/>
    <col min="14" max="14" width="22.28125" style="0" customWidth="1"/>
    <col min="15" max="15" width="22.00390625" style="0" customWidth="1"/>
    <col min="16" max="16" width="21.8515625" style="0" customWidth="1"/>
  </cols>
  <sheetData>
    <row r="1" spans="1:16" ht="12.75">
      <c r="A1" s="7">
        <v>1</v>
      </c>
      <c r="B1" s="7">
        <v>2</v>
      </c>
      <c r="C1" s="7">
        <v>3</v>
      </c>
      <c r="D1" s="7">
        <v>4</v>
      </c>
      <c r="E1" s="7">
        <v>5</v>
      </c>
      <c r="F1" s="7">
        <v>6</v>
      </c>
      <c r="G1" s="7">
        <v>7</v>
      </c>
      <c r="H1" s="7">
        <v>8</v>
      </c>
      <c r="I1" s="7">
        <v>9</v>
      </c>
      <c r="J1" s="7">
        <v>10</v>
      </c>
      <c r="K1" s="7">
        <v>11</v>
      </c>
      <c r="L1" s="7">
        <v>12</v>
      </c>
      <c r="M1" s="7">
        <v>13</v>
      </c>
      <c r="N1" s="7">
        <v>14</v>
      </c>
      <c r="O1" s="7">
        <v>15</v>
      </c>
      <c r="P1" s="7">
        <v>16</v>
      </c>
    </row>
    <row r="2" spans="1:16" ht="51">
      <c r="A2" s="8" t="s">
        <v>96</v>
      </c>
      <c r="B2" s="8" t="s">
        <v>99</v>
      </c>
      <c r="C2" s="8" t="s">
        <v>100</v>
      </c>
      <c r="D2" s="8" t="s">
        <v>108</v>
      </c>
      <c r="E2" s="8" t="s">
        <v>109</v>
      </c>
      <c r="F2" s="8" t="s">
        <v>114</v>
      </c>
      <c r="G2" s="8" t="s">
        <v>112</v>
      </c>
      <c r="H2" s="8" t="s">
        <v>116</v>
      </c>
      <c r="I2" s="8" t="s">
        <v>118</v>
      </c>
      <c r="J2" s="8" t="s">
        <v>120</v>
      </c>
      <c r="K2" s="8" t="s">
        <v>121</v>
      </c>
      <c r="L2" s="8" t="s">
        <v>123</v>
      </c>
      <c r="M2" s="8" t="s">
        <v>97</v>
      </c>
      <c r="N2" s="8" t="s">
        <v>98</v>
      </c>
      <c r="O2" s="8" t="s">
        <v>125</v>
      </c>
      <c r="P2" s="8" t="s">
        <v>126</v>
      </c>
    </row>
    <row r="3" spans="1:16" s="6" customFormat="1" ht="49.5" customHeight="1">
      <c r="A3" s="10" t="s">
        <v>101</v>
      </c>
      <c r="B3" s="10" t="s">
        <v>106</v>
      </c>
      <c r="C3" s="10" t="s">
        <v>107</v>
      </c>
      <c r="D3" s="10" t="s">
        <v>111</v>
      </c>
      <c r="E3" s="10" t="s">
        <v>110</v>
      </c>
      <c r="F3" s="10" t="s">
        <v>115</v>
      </c>
      <c r="G3" s="10" t="s">
        <v>113</v>
      </c>
      <c r="H3" s="10" t="s">
        <v>117</v>
      </c>
      <c r="I3" s="10" t="s">
        <v>119</v>
      </c>
      <c r="J3" s="10" t="s">
        <v>102</v>
      </c>
      <c r="K3" s="10" t="s">
        <v>122</v>
      </c>
      <c r="L3" s="10" t="s">
        <v>124</v>
      </c>
      <c r="M3" s="10" t="s">
        <v>102</v>
      </c>
      <c r="N3" s="10" t="s">
        <v>103</v>
      </c>
      <c r="O3" s="10" t="s">
        <v>105</v>
      </c>
      <c r="P3" s="10" t="s">
        <v>104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J91"/>
  <sheetViews>
    <sheetView showGridLines="0" tabSelected="1" zoomScalePageLayoutView="0" workbookViewId="0" topLeftCell="A1">
      <selection activeCell="L8" sqref="L8"/>
    </sheetView>
  </sheetViews>
  <sheetFormatPr defaultColWidth="11.421875" defaultRowHeight="12.75"/>
  <cols>
    <col min="1" max="2" width="11.421875" style="19" customWidth="1"/>
    <col min="3" max="3" width="17.00390625" style="19" customWidth="1"/>
    <col min="4" max="4" width="13.28125" style="19" customWidth="1"/>
    <col min="5" max="5" width="16.28125" style="19" customWidth="1"/>
    <col min="6" max="6" width="15.00390625" style="19" customWidth="1"/>
    <col min="7" max="7" width="14.421875" style="19" customWidth="1"/>
    <col min="8" max="8" width="12.8515625" style="19" bestFit="1" customWidth="1"/>
    <col min="9" max="9" width="14.8515625" style="19" bestFit="1" customWidth="1"/>
    <col min="10" max="10" width="12.28125" style="19" bestFit="1" customWidth="1"/>
    <col min="11" max="11" width="12.8515625" style="19" bestFit="1" customWidth="1"/>
    <col min="12" max="12" width="14.8515625" style="19" bestFit="1" customWidth="1"/>
    <col min="13" max="13" width="12.28125" style="19" bestFit="1" customWidth="1"/>
    <col min="14" max="14" width="12.8515625" style="19" bestFit="1" customWidth="1"/>
    <col min="15" max="15" width="14.8515625" style="19" bestFit="1" customWidth="1"/>
    <col min="16" max="16" width="14.421875" style="19" customWidth="1"/>
    <col min="17" max="17" width="12.8515625" style="19" bestFit="1" customWidth="1"/>
    <col min="18" max="18" width="14.8515625" style="19" bestFit="1" customWidth="1"/>
    <col min="19" max="19" width="12.28125" style="19" bestFit="1" customWidth="1"/>
    <col min="20" max="20" width="12.8515625" style="19" bestFit="1" customWidth="1"/>
    <col min="21" max="21" width="14.8515625" style="19" bestFit="1" customWidth="1"/>
    <col min="22" max="22" width="11.421875" style="19" customWidth="1"/>
    <col min="23" max="23" width="12.8515625" style="19" bestFit="1" customWidth="1"/>
    <col min="24" max="24" width="14.8515625" style="19" bestFit="1" customWidth="1"/>
    <col min="25" max="28" width="11.421875" style="19" customWidth="1"/>
    <col min="29" max="29" width="12.8515625" style="19" bestFit="1" customWidth="1"/>
    <col min="30" max="30" width="14.8515625" style="19" bestFit="1" customWidth="1"/>
    <col min="31" max="31" width="12.28125" style="19" bestFit="1" customWidth="1"/>
    <col min="32" max="16384" width="11.421875" style="19" customWidth="1"/>
  </cols>
  <sheetData>
    <row r="1" spans="1:7" ht="16.5" customHeight="1">
      <c r="A1" s="99"/>
      <c r="B1" s="100"/>
      <c r="C1" s="90" t="s">
        <v>0</v>
      </c>
      <c r="D1" s="90"/>
      <c r="E1" s="90"/>
      <c r="F1" s="90"/>
      <c r="G1" s="90"/>
    </row>
    <row r="2" spans="1:7" ht="16.5" customHeight="1">
      <c r="A2" s="101"/>
      <c r="B2" s="102"/>
      <c r="C2" s="90"/>
      <c r="D2" s="90"/>
      <c r="E2" s="90"/>
      <c r="F2" s="90"/>
      <c r="G2" s="90"/>
    </row>
    <row r="3" spans="1:7" ht="16.5" customHeight="1">
      <c r="A3" s="101"/>
      <c r="B3" s="102"/>
      <c r="C3" s="90"/>
      <c r="D3" s="90"/>
      <c r="E3" s="90"/>
      <c r="F3" s="90"/>
      <c r="G3" s="90"/>
    </row>
    <row r="4" spans="1:7" ht="12.75" customHeight="1">
      <c r="A4" s="101"/>
      <c r="B4" s="102"/>
      <c r="C4" s="91" t="s">
        <v>161</v>
      </c>
      <c r="D4" s="91"/>
      <c r="E4" s="91"/>
      <c r="F4" s="91"/>
      <c r="G4" s="91"/>
    </row>
    <row r="5" spans="1:7" ht="12.75" customHeight="1">
      <c r="A5" s="101"/>
      <c r="B5" s="102"/>
      <c r="C5" s="91"/>
      <c r="D5" s="91"/>
      <c r="E5" s="91"/>
      <c r="F5" s="91"/>
      <c r="G5" s="91"/>
    </row>
    <row r="6" spans="1:7" ht="12.75" customHeight="1">
      <c r="A6" s="103"/>
      <c r="B6" s="104"/>
      <c r="C6" s="91"/>
      <c r="D6" s="91"/>
      <c r="E6" s="91"/>
      <c r="F6" s="91"/>
      <c r="G6" s="91"/>
    </row>
    <row r="7" spans="1:7" ht="12.75">
      <c r="A7" s="17"/>
      <c r="B7" s="17"/>
      <c r="C7" s="17"/>
      <c r="D7" s="17"/>
      <c r="E7" s="17"/>
      <c r="F7" s="17"/>
      <c r="G7" s="17"/>
    </row>
    <row r="8" spans="1:7" ht="13.5" thickBot="1">
      <c r="A8" s="17" t="s">
        <v>5</v>
      </c>
      <c r="B8" s="17"/>
      <c r="C8" s="18"/>
      <c r="D8" s="18"/>
      <c r="E8" s="23" t="s">
        <v>156</v>
      </c>
      <c r="F8" s="23"/>
      <c r="G8" s="23"/>
    </row>
    <row r="9" spans="1:7" ht="13.5" thickBot="1">
      <c r="A9" s="17" t="s">
        <v>1</v>
      </c>
      <c r="B9" s="17"/>
      <c r="C9" s="18"/>
      <c r="D9" s="18"/>
      <c r="E9" s="24" t="s">
        <v>243</v>
      </c>
      <c r="F9" s="24"/>
      <c r="G9" s="24"/>
    </row>
    <row r="10" spans="1:7" ht="13.5" thickBot="1">
      <c r="A10" s="17" t="s">
        <v>4</v>
      </c>
      <c r="B10" s="17"/>
      <c r="C10" s="18"/>
      <c r="D10" s="18"/>
      <c r="E10" s="24"/>
      <c r="F10" s="24"/>
      <c r="G10" s="24"/>
    </row>
    <row r="11" ht="12.75"/>
    <row r="12" ht="12.75"/>
    <row r="13" ht="12.75"/>
    <row r="14" ht="12.75"/>
    <row r="15" ht="12.75"/>
    <row r="16" ht="13.5" thickBot="1"/>
    <row r="17" spans="1:31" ht="13.5" customHeight="1" thickBot="1">
      <c r="A17" s="92" t="s">
        <v>3</v>
      </c>
      <c r="B17" s="92" t="s">
        <v>130</v>
      </c>
      <c r="C17" s="92" t="s">
        <v>128</v>
      </c>
      <c r="D17" s="92" t="s">
        <v>163</v>
      </c>
      <c r="E17" s="95" t="s">
        <v>74</v>
      </c>
      <c r="F17" s="96"/>
      <c r="G17" s="96"/>
      <c r="H17" s="95" t="s">
        <v>76</v>
      </c>
      <c r="I17" s="96"/>
      <c r="J17" s="96"/>
      <c r="K17" s="95" t="s">
        <v>78</v>
      </c>
      <c r="L17" s="96"/>
      <c r="M17" s="96"/>
      <c r="N17" s="95" t="s">
        <v>79</v>
      </c>
      <c r="O17" s="96"/>
      <c r="P17" s="96"/>
      <c r="Q17" s="95" t="s">
        <v>83</v>
      </c>
      <c r="R17" s="96"/>
      <c r="S17" s="96"/>
      <c r="T17" s="95" t="s">
        <v>84</v>
      </c>
      <c r="U17" s="96"/>
      <c r="V17" s="96"/>
      <c r="W17" s="95" t="s">
        <v>86</v>
      </c>
      <c r="X17" s="96"/>
      <c r="Y17" s="96"/>
      <c r="Z17" s="95" t="s">
        <v>87</v>
      </c>
      <c r="AA17" s="96"/>
      <c r="AB17" s="96"/>
      <c r="AC17" s="95" t="s">
        <v>90</v>
      </c>
      <c r="AD17" s="96"/>
      <c r="AE17" s="96"/>
    </row>
    <row r="18" spans="1:31" ht="39" customHeight="1">
      <c r="A18" s="93"/>
      <c r="B18" s="93"/>
      <c r="C18" s="93"/>
      <c r="D18" s="93"/>
      <c r="E18" s="97" t="s">
        <v>75</v>
      </c>
      <c r="F18" s="98"/>
      <c r="G18" s="98"/>
      <c r="H18" s="97" t="s">
        <v>77</v>
      </c>
      <c r="I18" s="98"/>
      <c r="J18" s="98"/>
      <c r="K18" s="97" t="s">
        <v>80</v>
      </c>
      <c r="L18" s="98"/>
      <c r="M18" s="98"/>
      <c r="N18" s="97" t="s">
        <v>81</v>
      </c>
      <c r="O18" s="98"/>
      <c r="P18" s="98"/>
      <c r="Q18" s="97" t="s">
        <v>82</v>
      </c>
      <c r="R18" s="98"/>
      <c r="S18" s="98"/>
      <c r="T18" s="97" t="s">
        <v>85</v>
      </c>
      <c r="U18" s="98"/>
      <c r="V18" s="98"/>
      <c r="W18" s="97" t="s">
        <v>95</v>
      </c>
      <c r="X18" s="98"/>
      <c r="Y18" s="98"/>
      <c r="Z18" s="97" t="s">
        <v>88</v>
      </c>
      <c r="AA18" s="98"/>
      <c r="AB18" s="98"/>
      <c r="AC18" s="97" t="s">
        <v>89</v>
      </c>
      <c r="AD18" s="98"/>
      <c r="AE18" s="98"/>
    </row>
    <row r="19" spans="1:31" ht="12.75">
      <c r="A19" s="93"/>
      <c r="B19" s="93"/>
      <c r="C19" s="93"/>
      <c r="D19" s="93"/>
      <c r="E19" s="105" t="s">
        <v>10</v>
      </c>
      <c r="F19" s="107" t="s">
        <v>11</v>
      </c>
      <c r="G19" s="107" t="s">
        <v>12</v>
      </c>
      <c r="H19" s="105" t="s">
        <v>10</v>
      </c>
      <c r="I19" s="107" t="s">
        <v>11</v>
      </c>
      <c r="J19" s="107" t="s">
        <v>12</v>
      </c>
      <c r="K19" s="105" t="s">
        <v>10</v>
      </c>
      <c r="L19" s="107" t="s">
        <v>11</v>
      </c>
      <c r="M19" s="107" t="s">
        <v>12</v>
      </c>
      <c r="N19" s="105" t="s">
        <v>10</v>
      </c>
      <c r="O19" s="107" t="s">
        <v>11</v>
      </c>
      <c r="P19" s="107" t="s">
        <v>12</v>
      </c>
      <c r="Q19" s="105" t="s">
        <v>10</v>
      </c>
      <c r="R19" s="107" t="s">
        <v>11</v>
      </c>
      <c r="S19" s="107" t="s">
        <v>12</v>
      </c>
      <c r="T19" s="105" t="s">
        <v>10</v>
      </c>
      <c r="U19" s="107" t="s">
        <v>11</v>
      </c>
      <c r="V19" s="107" t="s">
        <v>12</v>
      </c>
      <c r="W19" s="105" t="s">
        <v>10</v>
      </c>
      <c r="X19" s="107" t="s">
        <v>11</v>
      </c>
      <c r="Y19" s="107" t="s">
        <v>12</v>
      </c>
      <c r="Z19" s="105" t="s">
        <v>10</v>
      </c>
      <c r="AA19" s="107" t="s">
        <v>11</v>
      </c>
      <c r="AB19" s="107" t="s">
        <v>12</v>
      </c>
      <c r="AC19" s="105" t="s">
        <v>10</v>
      </c>
      <c r="AD19" s="107" t="s">
        <v>11</v>
      </c>
      <c r="AE19" s="107" t="s">
        <v>12</v>
      </c>
    </row>
    <row r="20" spans="1:31" ht="12.75">
      <c r="A20" s="94"/>
      <c r="B20" s="94"/>
      <c r="C20" s="94"/>
      <c r="D20" s="94"/>
      <c r="E20" s="106"/>
      <c r="F20" s="107"/>
      <c r="G20" s="107"/>
      <c r="H20" s="106"/>
      <c r="I20" s="107"/>
      <c r="J20" s="107"/>
      <c r="K20" s="106"/>
      <c r="L20" s="107"/>
      <c r="M20" s="107"/>
      <c r="N20" s="106"/>
      <c r="O20" s="107"/>
      <c r="P20" s="107"/>
      <c r="Q20" s="106"/>
      <c r="R20" s="107"/>
      <c r="S20" s="107"/>
      <c r="T20" s="106"/>
      <c r="U20" s="107"/>
      <c r="V20" s="107"/>
      <c r="W20" s="106"/>
      <c r="X20" s="107"/>
      <c r="Y20" s="107"/>
      <c r="Z20" s="106"/>
      <c r="AA20" s="107"/>
      <c r="AB20" s="107"/>
      <c r="AC20" s="106"/>
      <c r="AD20" s="107"/>
      <c r="AE20" s="107"/>
    </row>
    <row r="21" spans="1:31" ht="12.75">
      <c r="A21" s="25" t="s">
        <v>157</v>
      </c>
      <c r="B21" s="25"/>
      <c r="C21" s="25"/>
      <c r="D21" s="20"/>
      <c r="E21" s="108" t="s">
        <v>91</v>
      </c>
      <c r="F21" s="109"/>
      <c r="G21" s="110"/>
      <c r="H21" s="108" t="s">
        <v>91</v>
      </c>
      <c r="I21" s="109"/>
      <c r="J21" s="110"/>
      <c r="K21" s="108" t="s">
        <v>94</v>
      </c>
      <c r="L21" s="109"/>
      <c r="M21" s="110"/>
      <c r="N21" s="108" t="s">
        <v>94</v>
      </c>
      <c r="O21" s="109"/>
      <c r="P21" s="110"/>
      <c r="Q21" s="108" t="s">
        <v>94</v>
      </c>
      <c r="R21" s="109"/>
      <c r="S21" s="110"/>
      <c r="T21" s="108" t="s">
        <v>92</v>
      </c>
      <c r="U21" s="109"/>
      <c r="V21" s="110"/>
      <c r="W21" s="108" t="s">
        <v>93</v>
      </c>
      <c r="X21" s="109"/>
      <c r="Y21" s="110"/>
      <c r="Z21" s="108" t="s">
        <v>93</v>
      </c>
      <c r="AA21" s="109"/>
      <c r="AB21" s="110"/>
      <c r="AC21" s="108" t="s">
        <v>93</v>
      </c>
      <c r="AD21" s="109"/>
      <c r="AE21" s="110"/>
    </row>
    <row r="22" spans="1:31" ht="12.75">
      <c r="A22" s="25" t="s">
        <v>158</v>
      </c>
      <c r="B22" s="25"/>
      <c r="C22" s="25"/>
      <c r="D22" s="20"/>
      <c r="E22" s="108" t="s">
        <v>162</v>
      </c>
      <c r="F22" s="109"/>
      <c r="G22" s="110"/>
      <c r="H22" s="108" t="s">
        <v>162</v>
      </c>
      <c r="I22" s="109"/>
      <c r="J22" s="110"/>
      <c r="K22" s="108" t="s">
        <v>159</v>
      </c>
      <c r="L22" s="109"/>
      <c r="M22" s="110"/>
      <c r="N22" s="108" t="s">
        <v>159</v>
      </c>
      <c r="O22" s="109"/>
      <c r="P22" s="110"/>
      <c r="Q22" s="108" t="s">
        <v>159</v>
      </c>
      <c r="R22" s="109"/>
      <c r="S22" s="110"/>
      <c r="T22" s="108" t="s">
        <v>159</v>
      </c>
      <c r="U22" s="109"/>
      <c r="V22" s="110"/>
      <c r="W22" s="108" t="s">
        <v>160</v>
      </c>
      <c r="X22" s="109"/>
      <c r="Y22" s="110"/>
      <c r="Z22" s="108" t="s">
        <v>160</v>
      </c>
      <c r="AA22" s="109"/>
      <c r="AB22" s="110"/>
      <c r="AC22" s="108" t="s">
        <v>160</v>
      </c>
      <c r="AD22" s="109"/>
      <c r="AE22" s="110"/>
    </row>
    <row r="23" spans="1:31" ht="12.75">
      <c r="A23" s="21">
        <v>2017</v>
      </c>
      <c r="B23" s="21" t="s">
        <v>131</v>
      </c>
      <c r="C23" s="26" t="s">
        <v>129</v>
      </c>
      <c r="D23" s="15">
        <v>11001</v>
      </c>
      <c r="E23" s="27">
        <f>5660+48+1455+1329+956+219</f>
        <v>9667</v>
      </c>
      <c r="F23" s="27">
        <f>1645+102+1793+604+1705+1015+256</f>
        <v>7120</v>
      </c>
      <c r="G23" s="28">
        <f>E23/F23</f>
        <v>1.3577247191011237</v>
      </c>
      <c r="H23" s="29">
        <f>3458+2510+317+845</f>
        <v>7130</v>
      </c>
      <c r="I23" s="29">
        <f>584+479+614+119</f>
        <v>1796</v>
      </c>
      <c r="J23" s="30">
        <f>H23/I23</f>
        <v>3.969933184855234</v>
      </c>
      <c r="K23" s="21">
        <v>1</v>
      </c>
      <c r="L23" s="21">
        <v>97</v>
      </c>
      <c r="M23" s="30">
        <f>K23/L23</f>
        <v>0.010309278350515464</v>
      </c>
      <c r="N23" s="21">
        <v>34</v>
      </c>
      <c r="O23" s="21">
        <v>82</v>
      </c>
      <c r="P23" s="31">
        <f aca="true" t="shared" si="0" ref="P23:P37">+N23/O23</f>
        <v>0.4146341463414634</v>
      </c>
      <c r="Q23" s="21">
        <v>4</v>
      </c>
      <c r="R23" s="21">
        <v>5</v>
      </c>
      <c r="S23" s="27">
        <f aca="true" t="shared" si="1" ref="S23:S33">+Q23/R23</f>
        <v>0.8</v>
      </c>
      <c r="T23" s="21">
        <v>0</v>
      </c>
      <c r="U23" s="21">
        <v>3</v>
      </c>
      <c r="V23" s="21">
        <f>+T23/U23</f>
        <v>0</v>
      </c>
      <c r="W23" s="21"/>
      <c r="X23" s="21"/>
      <c r="Y23" s="21"/>
      <c r="Z23" s="21"/>
      <c r="AA23" s="21"/>
      <c r="AB23" s="21"/>
      <c r="AC23" s="21"/>
      <c r="AD23" s="21"/>
      <c r="AE23" s="21"/>
    </row>
    <row r="24" spans="1:31" ht="12.75">
      <c r="A24" s="21">
        <v>2017</v>
      </c>
      <c r="B24" s="21" t="s">
        <v>131</v>
      </c>
      <c r="C24" s="32" t="s">
        <v>150</v>
      </c>
      <c r="D24" s="16">
        <v>15001</v>
      </c>
      <c r="E24" s="21">
        <f>92+138+17+48+34</f>
        <v>329</v>
      </c>
      <c r="F24" s="21">
        <f>44+35+40+4+12+8</f>
        <v>143</v>
      </c>
      <c r="G24" s="33">
        <f aca="true" t="shared" si="2" ref="G24:G33">E24/F24</f>
        <v>2.300699300699301</v>
      </c>
      <c r="H24" s="21">
        <f>4+154+89+128</f>
        <v>375</v>
      </c>
      <c r="I24" s="21">
        <f>8+2+39+34+36</f>
        <v>119</v>
      </c>
      <c r="J24" s="33">
        <f aca="true" t="shared" si="3" ref="J24:J33">H24/I24</f>
        <v>3.1512605042016806</v>
      </c>
      <c r="K24" s="21">
        <v>0</v>
      </c>
      <c r="L24" s="21">
        <v>0</v>
      </c>
      <c r="M24" s="30" t="e">
        <f aca="true" t="shared" si="4" ref="M24:M33">K24/L24</f>
        <v>#DIV/0!</v>
      </c>
      <c r="N24" s="21">
        <v>0</v>
      </c>
      <c r="O24" s="21">
        <v>0</v>
      </c>
      <c r="P24" s="21" t="e">
        <f t="shared" si="0"/>
        <v>#DIV/0!</v>
      </c>
      <c r="Q24" s="21">
        <v>0</v>
      </c>
      <c r="R24" s="21">
        <v>0</v>
      </c>
      <c r="S24" s="21" t="e">
        <f t="shared" si="1"/>
        <v>#DIV/0!</v>
      </c>
      <c r="T24" s="21">
        <v>0</v>
      </c>
      <c r="U24" s="21">
        <v>0</v>
      </c>
      <c r="V24" s="21" t="e">
        <f aca="true" t="shared" si="5" ref="V24:V33">+T24/U24</f>
        <v>#DIV/0!</v>
      </c>
      <c r="W24" s="21"/>
      <c r="X24" s="21"/>
      <c r="Y24" s="21"/>
      <c r="Z24" s="21"/>
      <c r="AA24" s="21"/>
      <c r="AB24" s="21"/>
      <c r="AC24" s="21"/>
      <c r="AD24" s="21"/>
      <c r="AE24" s="21"/>
    </row>
    <row r="25" spans="1:31" ht="12.75">
      <c r="A25" s="21">
        <v>2017</v>
      </c>
      <c r="B25" s="21" t="s">
        <v>131</v>
      </c>
      <c r="C25" s="32" t="s">
        <v>146</v>
      </c>
      <c r="D25" s="16">
        <v>15176</v>
      </c>
      <c r="E25" s="21">
        <f>88+80+1+35+3</f>
        <v>207</v>
      </c>
      <c r="F25" s="21">
        <f>42+55+53+2+9+3</f>
        <v>164</v>
      </c>
      <c r="G25" s="33">
        <f t="shared" si="2"/>
        <v>1.2621951219512195</v>
      </c>
      <c r="H25" s="21">
        <f>4+73+73+92</f>
        <v>242</v>
      </c>
      <c r="I25" s="21">
        <f>11+3+46+49+53</f>
        <v>162</v>
      </c>
      <c r="J25" s="33">
        <f t="shared" si="3"/>
        <v>1.4938271604938271</v>
      </c>
      <c r="K25" s="21">
        <v>0</v>
      </c>
      <c r="L25" s="21">
        <v>0</v>
      </c>
      <c r="M25" s="30" t="e">
        <f t="shared" si="4"/>
        <v>#DIV/0!</v>
      </c>
      <c r="N25" s="21">
        <v>0</v>
      </c>
      <c r="O25" s="21">
        <v>0</v>
      </c>
      <c r="P25" s="21" t="e">
        <f t="shared" si="0"/>
        <v>#DIV/0!</v>
      </c>
      <c r="Q25" s="21">
        <v>0</v>
      </c>
      <c r="R25" s="21">
        <v>0</v>
      </c>
      <c r="S25" s="21" t="e">
        <f t="shared" si="1"/>
        <v>#DIV/0!</v>
      </c>
      <c r="T25" s="21">
        <v>0</v>
      </c>
      <c r="U25" s="21">
        <v>0</v>
      </c>
      <c r="V25" s="21" t="e">
        <f t="shared" si="5"/>
        <v>#DIV/0!</v>
      </c>
      <c r="W25" s="21"/>
      <c r="X25" s="21"/>
      <c r="Y25" s="21"/>
      <c r="Z25" s="21"/>
      <c r="AA25" s="21"/>
      <c r="AB25" s="21"/>
      <c r="AC25" s="21"/>
      <c r="AD25" s="21"/>
      <c r="AE25" s="21"/>
    </row>
    <row r="26" spans="1:31" ht="12.75">
      <c r="A26" s="21">
        <v>2017</v>
      </c>
      <c r="B26" s="21" t="s">
        <v>131</v>
      </c>
      <c r="C26" s="32" t="s">
        <v>147</v>
      </c>
      <c r="D26" s="16">
        <v>15238</v>
      </c>
      <c r="E26" s="21">
        <f>145+122+17+2+27</f>
        <v>313</v>
      </c>
      <c r="F26" s="21">
        <f>32+29+31+8+1+6</f>
        <v>107</v>
      </c>
      <c r="G26" s="33">
        <f t="shared" si="2"/>
        <v>2.925233644859813</v>
      </c>
      <c r="H26" s="21">
        <f>9+102+125+88</f>
        <v>324</v>
      </c>
      <c r="I26" s="21">
        <f>10+4+30+23+30</f>
        <v>97</v>
      </c>
      <c r="J26" s="33">
        <f t="shared" si="3"/>
        <v>3.3402061855670104</v>
      </c>
      <c r="K26" s="21">
        <v>0</v>
      </c>
      <c r="L26" s="21">
        <v>1</v>
      </c>
      <c r="M26" s="30">
        <f t="shared" si="4"/>
        <v>0</v>
      </c>
      <c r="N26" s="21">
        <v>0</v>
      </c>
      <c r="O26" s="21">
        <v>0</v>
      </c>
      <c r="P26" s="21" t="e">
        <f t="shared" si="0"/>
        <v>#DIV/0!</v>
      </c>
      <c r="Q26" s="21">
        <v>0</v>
      </c>
      <c r="R26" s="21">
        <v>0</v>
      </c>
      <c r="S26" s="21" t="e">
        <f t="shared" si="1"/>
        <v>#DIV/0!</v>
      </c>
      <c r="T26" s="21">
        <v>0</v>
      </c>
      <c r="U26" s="21">
        <v>0</v>
      </c>
      <c r="V26" s="21" t="e">
        <f t="shared" si="5"/>
        <v>#DIV/0!</v>
      </c>
      <c r="W26" s="21"/>
      <c r="X26" s="21"/>
      <c r="Y26" s="21"/>
      <c r="Z26" s="21"/>
      <c r="AA26" s="21"/>
      <c r="AB26" s="21"/>
      <c r="AC26" s="21"/>
      <c r="AD26" s="21"/>
      <c r="AE26" s="21"/>
    </row>
    <row r="27" spans="1:31" ht="12.75">
      <c r="A27" s="21">
        <v>2017</v>
      </c>
      <c r="B27" s="21" t="s">
        <v>131</v>
      </c>
      <c r="C27" s="32" t="s">
        <v>149</v>
      </c>
      <c r="D27" s="16">
        <v>15469</v>
      </c>
      <c r="E27" s="21">
        <f>18+19+5</f>
        <v>42</v>
      </c>
      <c r="F27" s="21">
        <f>6+3+7+1</f>
        <v>17</v>
      </c>
      <c r="G27" s="33">
        <f>E27/F27</f>
        <v>2.4705882352941178</v>
      </c>
      <c r="H27" s="21">
        <f>10+18+8+4</f>
        <v>40</v>
      </c>
      <c r="I27" s="21">
        <f>4+3+2+1</f>
        <v>10</v>
      </c>
      <c r="J27" s="21">
        <f t="shared" si="3"/>
        <v>4</v>
      </c>
      <c r="K27" s="21">
        <v>0</v>
      </c>
      <c r="L27" s="21">
        <v>0</v>
      </c>
      <c r="M27" s="30" t="e">
        <f t="shared" si="4"/>
        <v>#DIV/0!</v>
      </c>
      <c r="N27" s="21">
        <v>0</v>
      </c>
      <c r="O27" s="21">
        <v>0</v>
      </c>
      <c r="P27" s="21" t="e">
        <f t="shared" si="0"/>
        <v>#DIV/0!</v>
      </c>
      <c r="Q27" s="21">
        <v>0</v>
      </c>
      <c r="R27" s="21">
        <v>0</v>
      </c>
      <c r="S27" s="21" t="e">
        <f t="shared" si="1"/>
        <v>#DIV/0!</v>
      </c>
      <c r="T27" s="21">
        <v>0</v>
      </c>
      <c r="U27" s="21">
        <v>0</v>
      </c>
      <c r="V27" s="21" t="e">
        <f t="shared" si="5"/>
        <v>#DIV/0!</v>
      </c>
      <c r="W27" s="21"/>
      <c r="X27" s="21"/>
      <c r="Y27" s="21"/>
      <c r="Z27" s="21"/>
      <c r="AA27" s="21"/>
      <c r="AB27" s="21"/>
      <c r="AC27" s="21"/>
      <c r="AD27" s="21"/>
      <c r="AE27" s="21"/>
    </row>
    <row r="28" spans="1:31" ht="12.75">
      <c r="A28" s="21">
        <v>2017</v>
      </c>
      <c r="B28" s="21" t="s">
        <v>131</v>
      </c>
      <c r="C28" s="32" t="s">
        <v>148</v>
      </c>
      <c r="D28" s="16">
        <v>15759</v>
      </c>
      <c r="E28" s="21">
        <f>124+222+29+21+36</f>
        <v>432</v>
      </c>
      <c r="F28" s="21">
        <f>30+22+37+4+5+5</f>
        <v>103</v>
      </c>
      <c r="G28" s="33">
        <f t="shared" si="2"/>
        <v>4.194174757281553</v>
      </c>
      <c r="H28" s="21">
        <f>12+118+192+22</f>
        <v>344</v>
      </c>
      <c r="I28" s="21">
        <f>5+2+21+29+33</f>
        <v>90</v>
      </c>
      <c r="J28" s="33">
        <f t="shared" si="3"/>
        <v>3.8222222222222224</v>
      </c>
      <c r="K28" s="21">
        <v>0</v>
      </c>
      <c r="L28" s="21">
        <v>0</v>
      </c>
      <c r="M28" s="30" t="e">
        <f t="shared" si="4"/>
        <v>#DIV/0!</v>
      </c>
      <c r="N28" s="21">
        <v>0</v>
      </c>
      <c r="O28" s="21">
        <v>0</v>
      </c>
      <c r="P28" s="21" t="e">
        <f t="shared" si="0"/>
        <v>#DIV/0!</v>
      </c>
      <c r="Q28" s="21">
        <v>0</v>
      </c>
      <c r="R28" s="21">
        <v>0</v>
      </c>
      <c r="S28" s="21" t="e">
        <f t="shared" si="1"/>
        <v>#DIV/0!</v>
      </c>
      <c r="T28" s="21">
        <v>0</v>
      </c>
      <c r="U28" s="21">
        <v>0</v>
      </c>
      <c r="V28" s="21" t="e">
        <f t="shared" si="5"/>
        <v>#DIV/0!</v>
      </c>
      <c r="W28" s="21"/>
      <c r="X28" s="21"/>
      <c r="Y28" s="21"/>
      <c r="Z28" s="21"/>
      <c r="AA28" s="21"/>
      <c r="AB28" s="21"/>
      <c r="AC28" s="21"/>
      <c r="AD28" s="21"/>
      <c r="AE28" s="21"/>
    </row>
    <row r="29" spans="1:31" ht="12.75">
      <c r="A29" s="21">
        <v>2017</v>
      </c>
      <c r="B29" s="21" t="s">
        <v>131</v>
      </c>
      <c r="C29" s="32" t="s">
        <v>152</v>
      </c>
      <c r="D29" s="16">
        <v>17380</v>
      </c>
      <c r="E29" s="21">
        <f>580+70+438+12</f>
        <v>1100</v>
      </c>
      <c r="F29" s="21">
        <f>334+337+50+320+12</f>
        <v>1053</v>
      </c>
      <c r="G29" s="33">
        <f t="shared" si="2"/>
        <v>1.0446343779677112</v>
      </c>
      <c r="H29" s="21">
        <f>88+26</f>
        <v>114</v>
      </c>
      <c r="I29" s="21">
        <f>51+14</f>
        <v>65</v>
      </c>
      <c r="J29" s="33">
        <f t="shared" si="3"/>
        <v>1.7538461538461538</v>
      </c>
      <c r="K29" s="21">
        <v>0</v>
      </c>
      <c r="L29" s="21">
        <v>19</v>
      </c>
      <c r="M29" s="30">
        <f t="shared" si="4"/>
        <v>0</v>
      </c>
      <c r="N29" s="21">
        <v>7</v>
      </c>
      <c r="O29" s="21">
        <v>16</v>
      </c>
      <c r="P29" s="33">
        <f t="shared" si="0"/>
        <v>0.4375</v>
      </c>
      <c r="Q29" s="21">
        <v>0</v>
      </c>
      <c r="R29" s="21">
        <v>0</v>
      </c>
      <c r="S29" s="21" t="e">
        <f t="shared" si="1"/>
        <v>#DIV/0!</v>
      </c>
      <c r="T29" s="21">
        <v>0</v>
      </c>
      <c r="U29" s="21">
        <v>0</v>
      </c>
      <c r="V29" s="21" t="e">
        <f t="shared" si="5"/>
        <v>#DIV/0!</v>
      </c>
      <c r="W29" s="21"/>
      <c r="X29" s="21"/>
      <c r="Y29" s="21"/>
      <c r="Z29" s="21"/>
      <c r="AA29" s="21"/>
      <c r="AB29" s="21"/>
      <c r="AC29" s="21"/>
      <c r="AD29" s="21"/>
      <c r="AE29" s="21"/>
    </row>
    <row r="30" spans="1:31" ht="12.75">
      <c r="A30" s="21">
        <v>2017</v>
      </c>
      <c r="B30" s="21" t="s">
        <v>131</v>
      </c>
      <c r="C30" s="32" t="s">
        <v>135</v>
      </c>
      <c r="D30" s="16">
        <v>25123</v>
      </c>
      <c r="E30" s="21">
        <f>3+21</f>
        <v>24</v>
      </c>
      <c r="F30" s="21">
        <f>2+2+6</f>
        <v>10</v>
      </c>
      <c r="G30" s="33">
        <f t="shared" si="2"/>
        <v>2.4</v>
      </c>
      <c r="H30" s="21">
        <f>2+8+8</f>
        <v>18</v>
      </c>
      <c r="I30" s="21">
        <f>2+2+4+2</f>
        <v>10</v>
      </c>
      <c r="J30" s="21">
        <f t="shared" si="3"/>
        <v>1.8</v>
      </c>
      <c r="K30" s="21">
        <v>0</v>
      </c>
      <c r="L30" s="21">
        <v>0</v>
      </c>
      <c r="M30" s="30" t="e">
        <f t="shared" si="4"/>
        <v>#DIV/0!</v>
      </c>
      <c r="N30" s="21">
        <v>0</v>
      </c>
      <c r="O30" s="21">
        <v>2</v>
      </c>
      <c r="P30" s="21">
        <f t="shared" si="0"/>
        <v>0</v>
      </c>
      <c r="Q30" s="21">
        <v>0</v>
      </c>
      <c r="R30" s="21">
        <v>0</v>
      </c>
      <c r="S30" s="21" t="e">
        <f t="shared" si="1"/>
        <v>#DIV/0!</v>
      </c>
      <c r="T30" s="21">
        <v>0</v>
      </c>
      <c r="U30" s="21">
        <v>0</v>
      </c>
      <c r="V30" s="21" t="e">
        <f t="shared" si="5"/>
        <v>#DIV/0!</v>
      </c>
      <c r="W30" s="21"/>
      <c r="X30" s="21"/>
      <c r="Y30" s="21"/>
      <c r="Z30" s="21"/>
      <c r="AA30" s="21"/>
      <c r="AB30" s="21"/>
      <c r="AC30" s="21"/>
      <c r="AD30" s="21"/>
      <c r="AE30" s="21"/>
    </row>
    <row r="31" spans="1:31" ht="12.75">
      <c r="A31" s="21">
        <v>2017</v>
      </c>
      <c r="B31" s="21" t="s">
        <v>131</v>
      </c>
      <c r="C31" s="32" t="s">
        <v>140</v>
      </c>
      <c r="D31" s="16">
        <v>25183</v>
      </c>
      <c r="E31" s="21">
        <f>21+47+27+10+2+13</f>
        <v>120</v>
      </c>
      <c r="F31" s="21">
        <f>15+24+32+7+5+3+4</f>
        <v>90</v>
      </c>
      <c r="G31" s="33">
        <f t="shared" si="2"/>
        <v>1.3333333333333333</v>
      </c>
      <c r="H31" s="21">
        <f>52+7+25</f>
        <v>84</v>
      </c>
      <c r="I31" s="21">
        <f>9+13+4+21</f>
        <v>47</v>
      </c>
      <c r="J31" s="33">
        <f t="shared" si="3"/>
        <v>1.7872340425531914</v>
      </c>
      <c r="K31" s="21">
        <v>0</v>
      </c>
      <c r="L31" s="21">
        <v>1</v>
      </c>
      <c r="M31" s="30">
        <f t="shared" si="4"/>
        <v>0</v>
      </c>
      <c r="N31" s="21">
        <v>0</v>
      </c>
      <c r="O31" s="21">
        <v>1</v>
      </c>
      <c r="P31" s="21">
        <f t="shared" si="0"/>
        <v>0</v>
      </c>
      <c r="Q31" s="21">
        <v>0</v>
      </c>
      <c r="R31" s="21">
        <v>0</v>
      </c>
      <c r="S31" s="21" t="e">
        <f t="shared" si="1"/>
        <v>#DIV/0!</v>
      </c>
      <c r="T31" s="21">
        <v>0</v>
      </c>
      <c r="U31" s="21">
        <v>0</v>
      </c>
      <c r="V31" s="21" t="e">
        <f t="shared" si="5"/>
        <v>#DIV/0!</v>
      </c>
      <c r="W31" s="21"/>
      <c r="X31" s="21"/>
      <c r="Y31" s="21"/>
      <c r="Z31" s="21"/>
      <c r="AA31" s="21"/>
      <c r="AB31" s="21"/>
      <c r="AC31" s="21"/>
      <c r="AD31" s="21"/>
      <c r="AE31" s="21"/>
    </row>
    <row r="32" spans="1:31" ht="12.75">
      <c r="A32" s="21">
        <v>2017</v>
      </c>
      <c r="B32" s="21" t="s">
        <v>131</v>
      </c>
      <c r="C32" s="26" t="s">
        <v>133</v>
      </c>
      <c r="D32" s="15">
        <v>25269</v>
      </c>
      <c r="E32" s="21">
        <f>1650+2870+1158+1612+1374</f>
        <v>8664</v>
      </c>
      <c r="F32" s="21">
        <f>371+568+543+613+509</f>
        <v>2604</v>
      </c>
      <c r="G32" s="28">
        <f t="shared" si="2"/>
        <v>3.327188940092166</v>
      </c>
      <c r="H32" s="21">
        <v>0</v>
      </c>
      <c r="I32" s="21">
        <v>2</v>
      </c>
      <c r="J32" s="30">
        <f t="shared" si="3"/>
        <v>0</v>
      </c>
      <c r="K32" s="21">
        <v>0</v>
      </c>
      <c r="L32" s="21">
        <v>38</v>
      </c>
      <c r="M32" s="30">
        <f t="shared" si="4"/>
        <v>0</v>
      </c>
      <c r="N32" s="21">
        <v>7</v>
      </c>
      <c r="O32" s="21">
        <v>20</v>
      </c>
      <c r="P32" s="21">
        <f t="shared" si="0"/>
        <v>0.35</v>
      </c>
      <c r="Q32" s="21">
        <v>0</v>
      </c>
      <c r="R32" s="21">
        <v>1</v>
      </c>
      <c r="S32" s="21">
        <f t="shared" si="1"/>
        <v>0</v>
      </c>
      <c r="T32" s="21">
        <v>0</v>
      </c>
      <c r="U32" s="21">
        <v>0</v>
      </c>
      <c r="V32" s="21" t="e">
        <f t="shared" si="5"/>
        <v>#DIV/0!</v>
      </c>
      <c r="W32" s="21"/>
      <c r="X32" s="21"/>
      <c r="Y32" s="21"/>
      <c r="Z32" s="21"/>
      <c r="AA32" s="21"/>
      <c r="AB32" s="21"/>
      <c r="AC32" s="21"/>
      <c r="AD32" s="21"/>
      <c r="AE32" s="21"/>
    </row>
    <row r="33" spans="1:31" ht="12.75">
      <c r="A33" s="21">
        <v>2017</v>
      </c>
      <c r="B33" s="21" t="s">
        <v>131</v>
      </c>
      <c r="C33" s="32" t="s">
        <v>134</v>
      </c>
      <c r="D33" s="16">
        <v>25290</v>
      </c>
      <c r="E33" s="21">
        <v>1</v>
      </c>
      <c r="F33" s="21">
        <f>67+79+60+43+75+103</f>
        <v>427</v>
      </c>
      <c r="G33" s="28">
        <f t="shared" si="2"/>
        <v>0.00234192037470726</v>
      </c>
      <c r="H33" s="21">
        <f>47+48+21+137</f>
        <v>253</v>
      </c>
      <c r="I33" s="21">
        <f>13+23+22+13+65</f>
        <v>136</v>
      </c>
      <c r="J33" s="30">
        <f t="shared" si="3"/>
        <v>1.8602941176470589</v>
      </c>
      <c r="K33" s="21">
        <v>1</v>
      </c>
      <c r="L33" s="21">
        <v>10</v>
      </c>
      <c r="M33" s="30">
        <f t="shared" si="4"/>
        <v>0.1</v>
      </c>
      <c r="N33" s="21">
        <v>4</v>
      </c>
      <c r="O33" s="21">
        <v>8</v>
      </c>
      <c r="P33" s="21">
        <f t="shared" si="0"/>
        <v>0.5</v>
      </c>
      <c r="Q33" s="21">
        <v>0</v>
      </c>
      <c r="R33" s="21">
        <v>0</v>
      </c>
      <c r="S33" s="21" t="e">
        <f t="shared" si="1"/>
        <v>#DIV/0!</v>
      </c>
      <c r="T33" s="21">
        <v>0</v>
      </c>
      <c r="U33" s="21">
        <v>0</v>
      </c>
      <c r="V33" s="21" t="e">
        <f t="shared" si="5"/>
        <v>#DIV/0!</v>
      </c>
      <c r="W33" s="21"/>
      <c r="X33" s="21"/>
      <c r="Y33" s="21"/>
      <c r="Z33" s="21"/>
      <c r="AA33" s="21"/>
      <c r="AB33" s="21"/>
      <c r="AC33" s="21"/>
      <c r="AD33" s="21"/>
      <c r="AE33" s="21"/>
    </row>
    <row r="34" spans="1:31" ht="12.75">
      <c r="A34" s="21">
        <v>2017</v>
      </c>
      <c r="B34" s="21" t="s">
        <v>131</v>
      </c>
      <c r="C34" s="26" t="s">
        <v>132</v>
      </c>
      <c r="D34" s="15">
        <v>25307</v>
      </c>
      <c r="E34" s="27">
        <v>3375</v>
      </c>
      <c r="F34" s="27">
        <v>2700</v>
      </c>
      <c r="G34" s="28">
        <f>E34/F34</f>
        <v>1.25</v>
      </c>
      <c r="H34" s="21">
        <v>1574</v>
      </c>
      <c r="I34" s="21">
        <v>1158</v>
      </c>
      <c r="J34" s="30">
        <f>H34/I34</f>
        <v>1.3592400690846287</v>
      </c>
      <c r="K34" s="21">
        <v>0</v>
      </c>
      <c r="L34" s="21">
        <v>39</v>
      </c>
      <c r="M34" s="30">
        <f>K34/L34</f>
        <v>0</v>
      </c>
      <c r="N34" s="21">
        <v>4</v>
      </c>
      <c r="O34" s="21">
        <v>8</v>
      </c>
      <c r="P34" s="21">
        <f t="shared" si="0"/>
        <v>0.5</v>
      </c>
      <c r="Q34" s="21">
        <v>2</v>
      </c>
      <c r="R34" s="21">
        <v>3</v>
      </c>
      <c r="S34" s="31">
        <f>+Q34/R34</f>
        <v>0.6666666666666666</v>
      </c>
      <c r="T34" s="21">
        <v>0</v>
      </c>
      <c r="U34" s="21">
        <v>0</v>
      </c>
      <c r="V34" s="21" t="e">
        <f>+T34/U34</f>
        <v>#DIV/0!</v>
      </c>
      <c r="W34" s="21"/>
      <c r="X34" s="21"/>
      <c r="Y34" s="21"/>
      <c r="Z34" s="21"/>
      <c r="AA34" s="21"/>
      <c r="AB34" s="21"/>
      <c r="AC34" s="21"/>
      <c r="AD34" s="21"/>
      <c r="AE34" s="21"/>
    </row>
    <row r="35" spans="1:31" ht="12.75">
      <c r="A35" s="21">
        <v>2017</v>
      </c>
      <c r="B35" s="21" t="s">
        <v>131</v>
      </c>
      <c r="C35" s="32" t="s">
        <v>155</v>
      </c>
      <c r="D35" s="16">
        <v>25320</v>
      </c>
      <c r="E35" s="21">
        <v>4</v>
      </c>
      <c r="F35" s="21">
        <v>24</v>
      </c>
      <c r="G35" s="33">
        <f>E35/F35</f>
        <v>0.16666666666666666</v>
      </c>
      <c r="H35" s="21">
        <v>4</v>
      </c>
      <c r="I35" s="21">
        <v>10</v>
      </c>
      <c r="J35" s="33">
        <f>H35/I35</f>
        <v>0.4</v>
      </c>
      <c r="K35" s="21">
        <v>0</v>
      </c>
      <c r="L35" s="21">
        <v>2</v>
      </c>
      <c r="M35" s="30">
        <f>K35/L35</f>
        <v>0</v>
      </c>
      <c r="N35" s="21">
        <v>0</v>
      </c>
      <c r="O35" s="21">
        <v>0</v>
      </c>
      <c r="P35" s="21" t="e">
        <f t="shared" si="0"/>
        <v>#DIV/0!</v>
      </c>
      <c r="Q35" s="21">
        <v>0</v>
      </c>
      <c r="R35" s="21">
        <v>0</v>
      </c>
      <c r="S35" s="21" t="e">
        <f>+Q35/R35</f>
        <v>#DIV/0!</v>
      </c>
      <c r="T35" s="21">
        <v>0</v>
      </c>
      <c r="U35" s="21">
        <v>0</v>
      </c>
      <c r="V35" s="21" t="e">
        <f>+T35/U35</f>
        <v>#DIV/0!</v>
      </c>
      <c r="W35" s="21"/>
      <c r="X35" s="21"/>
      <c r="Y35" s="21"/>
      <c r="Z35" s="21"/>
      <c r="AA35" s="21"/>
      <c r="AB35" s="21"/>
      <c r="AC35" s="21"/>
      <c r="AD35" s="21"/>
      <c r="AE35" s="21"/>
    </row>
    <row r="36" spans="1:31" ht="12.75">
      <c r="A36" s="21">
        <v>2017</v>
      </c>
      <c r="B36" s="21" t="s">
        <v>131</v>
      </c>
      <c r="C36" s="32" t="s">
        <v>139</v>
      </c>
      <c r="D36" s="16">
        <v>25386</v>
      </c>
      <c r="E36" s="21">
        <f>91+58+6+128+97</f>
        <v>380</v>
      </c>
      <c r="F36" s="21">
        <f>27+36+23+2+35+22</f>
        <v>145</v>
      </c>
      <c r="G36" s="33">
        <f>E36/F36</f>
        <v>2.6206896551724137</v>
      </c>
      <c r="H36" s="21">
        <f>30+9+10</f>
        <v>49</v>
      </c>
      <c r="I36" s="21">
        <f>14+7+5+2</f>
        <v>28</v>
      </c>
      <c r="J36" s="33">
        <f>H36/I36</f>
        <v>1.75</v>
      </c>
      <c r="K36" s="21">
        <v>0</v>
      </c>
      <c r="L36" s="21">
        <v>0</v>
      </c>
      <c r="M36" s="30" t="e">
        <f>K36/L36</f>
        <v>#DIV/0!</v>
      </c>
      <c r="N36" s="21">
        <v>2</v>
      </c>
      <c r="O36" s="21">
        <v>4</v>
      </c>
      <c r="P36" s="21">
        <f t="shared" si="0"/>
        <v>0.5</v>
      </c>
      <c r="Q36" s="21">
        <v>0</v>
      </c>
      <c r="R36" s="21">
        <v>0</v>
      </c>
      <c r="S36" s="21" t="e">
        <f>+Q36/R36</f>
        <v>#DIV/0!</v>
      </c>
      <c r="T36" s="21">
        <v>0</v>
      </c>
      <c r="U36" s="21">
        <v>0</v>
      </c>
      <c r="V36" s="21" t="e">
        <f>+T36/U36</f>
        <v>#DIV/0!</v>
      </c>
      <c r="W36" s="21"/>
      <c r="X36" s="21"/>
      <c r="Y36" s="21"/>
      <c r="Z36" s="21"/>
      <c r="AA36" s="21"/>
      <c r="AB36" s="21"/>
      <c r="AC36" s="21"/>
      <c r="AD36" s="21"/>
      <c r="AE36" s="21"/>
    </row>
    <row r="37" spans="1:31" ht="12.75">
      <c r="A37" s="21">
        <v>2017</v>
      </c>
      <c r="B37" s="21" t="s">
        <v>131</v>
      </c>
      <c r="C37" s="32" t="s">
        <v>138</v>
      </c>
      <c r="D37" s="16">
        <v>25851</v>
      </c>
      <c r="E37" s="21">
        <f>50+23+15</f>
        <v>88</v>
      </c>
      <c r="F37" s="21">
        <f>7+6+7</f>
        <v>20</v>
      </c>
      <c r="G37" s="21">
        <f>E37/F37</f>
        <v>4.4</v>
      </c>
      <c r="H37" s="21">
        <v>9</v>
      </c>
      <c r="I37" s="21">
        <v>2</v>
      </c>
      <c r="J37" s="21">
        <f>H37/I37</f>
        <v>4.5</v>
      </c>
      <c r="K37" s="21">
        <v>0</v>
      </c>
      <c r="L37" s="21">
        <v>0</v>
      </c>
      <c r="M37" s="30" t="e">
        <f>K37/L37</f>
        <v>#DIV/0!</v>
      </c>
      <c r="N37" s="21">
        <v>2</v>
      </c>
      <c r="O37" s="21">
        <v>3</v>
      </c>
      <c r="P37" s="33">
        <f t="shared" si="0"/>
        <v>0.6666666666666666</v>
      </c>
      <c r="Q37" s="21">
        <v>0</v>
      </c>
      <c r="R37" s="21">
        <v>0</v>
      </c>
      <c r="S37" s="33" t="e">
        <f>+Q37/R37</f>
        <v>#DIV/0!</v>
      </c>
      <c r="T37" s="21">
        <v>0</v>
      </c>
      <c r="U37" s="21">
        <v>0</v>
      </c>
      <c r="V37" s="21" t="e">
        <f>+T37/U37</f>
        <v>#DIV/0!</v>
      </c>
      <c r="W37" s="21"/>
      <c r="X37" s="21"/>
      <c r="Y37" s="21"/>
      <c r="Z37" s="21"/>
      <c r="AA37" s="21"/>
      <c r="AB37" s="21"/>
      <c r="AC37" s="21"/>
      <c r="AD37" s="21"/>
      <c r="AE37" s="21"/>
    </row>
    <row r="38" spans="1:31" ht="12.75">
      <c r="A38" s="21">
        <v>2017</v>
      </c>
      <c r="B38" s="21" t="s">
        <v>131</v>
      </c>
      <c r="C38" s="32" t="s">
        <v>137</v>
      </c>
      <c r="D38" s="16">
        <v>25875</v>
      </c>
      <c r="E38" s="21">
        <f>14+138+195+63+92+90</f>
        <v>592</v>
      </c>
      <c r="F38" s="21">
        <f>30+16+29+7+28+20</f>
        <v>130</v>
      </c>
      <c r="G38" s="33">
        <f>E38/F38</f>
        <v>4.553846153846154</v>
      </c>
      <c r="H38" s="21">
        <f>80+18+4+4</f>
        <v>106</v>
      </c>
      <c r="I38" s="21">
        <f>4+11+6+2+2</f>
        <v>25</v>
      </c>
      <c r="J38" s="33">
        <f>H38/I38</f>
        <v>4.24</v>
      </c>
      <c r="K38" s="21">
        <v>0</v>
      </c>
      <c r="L38" s="21">
        <v>2</v>
      </c>
      <c r="M38" s="30">
        <f>K38/L38</f>
        <v>0</v>
      </c>
      <c r="N38" s="21">
        <v>2</v>
      </c>
      <c r="O38" s="21">
        <v>6</v>
      </c>
      <c r="P38" s="33">
        <f>+N38/O38</f>
        <v>0.3333333333333333</v>
      </c>
      <c r="Q38" s="21">
        <v>1</v>
      </c>
      <c r="R38" s="21">
        <v>1</v>
      </c>
      <c r="S38" s="21">
        <f>+Q38/R38</f>
        <v>1</v>
      </c>
      <c r="T38" s="21">
        <v>0</v>
      </c>
      <c r="U38" s="21">
        <v>0</v>
      </c>
      <c r="V38" s="21" t="e">
        <f>+T38/U38</f>
        <v>#DIV/0!</v>
      </c>
      <c r="W38" s="21"/>
      <c r="X38" s="21"/>
      <c r="Y38" s="21"/>
      <c r="Z38" s="21"/>
      <c r="AA38" s="21"/>
      <c r="AB38" s="21"/>
      <c r="AC38" s="21"/>
      <c r="AD38" s="21"/>
      <c r="AE38" s="21"/>
    </row>
    <row r="39" spans="1:31" ht="12.75">
      <c r="A39" s="21">
        <v>2017</v>
      </c>
      <c r="B39" s="21" t="s">
        <v>131</v>
      </c>
      <c r="C39" s="32" t="s">
        <v>136</v>
      </c>
      <c r="D39" s="16">
        <v>25899</v>
      </c>
      <c r="E39" s="21">
        <v>157</v>
      </c>
      <c r="F39" s="21">
        <v>82</v>
      </c>
      <c r="G39" s="33">
        <f>E39/F39</f>
        <v>1.9146341463414633</v>
      </c>
      <c r="H39" s="21">
        <v>10</v>
      </c>
      <c r="I39" s="21">
        <v>43</v>
      </c>
      <c r="J39" s="33">
        <f>H39/I39</f>
        <v>0.23255813953488372</v>
      </c>
      <c r="K39" s="21">
        <v>0</v>
      </c>
      <c r="L39" s="21">
        <v>10</v>
      </c>
      <c r="M39" s="30">
        <f>K39/L39</f>
        <v>0</v>
      </c>
      <c r="N39" s="21">
        <v>0</v>
      </c>
      <c r="O39" s="21">
        <v>2</v>
      </c>
      <c r="P39" s="21">
        <f>+N39/O39</f>
        <v>0</v>
      </c>
      <c r="Q39" s="21">
        <v>0</v>
      </c>
      <c r="R39" s="21">
        <v>0</v>
      </c>
      <c r="S39" s="21" t="e">
        <f>+Q39/R39</f>
        <v>#DIV/0!</v>
      </c>
      <c r="T39" s="21">
        <v>0</v>
      </c>
      <c r="U39" s="21">
        <v>0</v>
      </c>
      <c r="V39" s="21" t="e">
        <f>+T39/U39</f>
        <v>#DIV/0!</v>
      </c>
      <c r="W39" s="21"/>
      <c r="X39" s="21"/>
      <c r="Y39" s="21"/>
      <c r="Z39" s="21"/>
      <c r="AA39" s="21"/>
      <c r="AB39" s="21"/>
      <c r="AC39" s="21"/>
      <c r="AD39" s="21"/>
      <c r="AE39" s="21"/>
    </row>
    <row r="40" spans="1:31" ht="12.75">
      <c r="A40" s="21">
        <v>2017</v>
      </c>
      <c r="B40" s="21" t="s">
        <v>131</v>
      </c>
      <c r="C40" s="32" t="s">
        <v>153</v>
      </c>
      <c r="D40" s="16">
        <v>41001</v>
      </c>
      <c r="E40" s="21">
        <f>77+70</f>
        <v>147</v>
      </c>
      <c r="F40" s="21">
        <f>43+39+41+10+38</f>
        <v>171</v>
      </c>
      <c r="G40" s="33">
        <f>E40/F40</f>
        <v>0.8596491228070176</v>
      </c>
      <c r="H40" s="21">
        <v>3</v>
      </c>
      <c r="I40" s="21">
        <f>4+4</f>
        <v>8</v>
      </c>
      <c r="J40" s="33">
        <f>H40/I40</f>
        <v>0.375</v>
      </c>
      <c r="K40" s="21">
        <v>0</v>
      </c>
      <c r="L40" s="21">
        <v>0</v>
      </c>
      <c r="M40" s="30" t="e">
        <f>K40/L40</f>
        <v>#DIV/0!</v>
      </c>
      <c r="N40" s="21">
        <v>0</v>
      </c>
      <c r="O40" s="21">
        <v>0</v>
      </c>
      <c r="P40" s="21" t="e">
        <f>+N40/O40</f>
        <v>#DIV/0!</v>
      </c>
      <c r="Q40" s="21">
        <v>0</v>
      </c>
      <c r="R40" s="21">
        <v>0</v>
      </c>
      <c r="S40" s="21" t="e">
        <f>+Q40/R40</f>
        <v>#DIV/0!</v>
      </c>
      <c r="T40" s="21">
        <v>0</v>
      </c>
      <c r="U40" s="21">
        <v>0</v>
      </c>
      <c r="V40" s="21" t="e">
        <f>+T40/U40</f>
        <v>#DIV/0!</v>
      </c>
      <c r="W40" s="21"/>
      <c r="X40" s="21"/>
      <c r="Y40" s="21"/>
      <c r="Z40" s="21"/>
      <c r="AA40" s="21"/>
      <c r="AB40" s="21"/>
      <c r="AC40" s="21"/>
      <c r="AD40" s="21"/>
      <c r="AE40" s="21"/>
    </row>
    <row r="41" spans="1:31" ht="12.75">
      <c r="A41" s="21">
        <v>2017</v>
      </c>
      <c r="B41" s="21" t="s">
        <v>131</v>
      </c>
      <c r="C41" s="32" t="s">
        <v>154</v>
      </c>
      <c r="D41" s="16">
        <v>50001</v>
      </c>
      <c r="E41" s="21">
        <v>33</v>
      </c>
      <c r="F41" s="21">
        <v>20</v>
      </c>
      <c r="G41" s="33">
        <f>E41/F41</f>
        <v>1.65</v>
      </c>
      <c r="H41" s="21">
        <v>10</v>
      </c>
      <c r="I41" s="21">
        <v>10</v>
      </c>
      <c r="J41" s="21">
        <f>H41/I41</f>
        <v>1</v>
      </c>
      <c r="K41" s="21">
        <v>0</v>
      </c>
      <c r="L41" s="21">
        <v>2</v>
      </c>
      <c r="M41" s="30">
        <f>K41/L41</f>
        <v>0</v>
      </c>
      <c r="N41" s="21">
        <v>0</v>
      </c>
      <c r="O41" s="21">
        <v>0</v>
      </c>
      <c r="P41" s="21" t="e">
        <f>+N41/O41</f>
        <v>#DIV/0!</v>
      </c>
      <c r="Q41" s="21">
        <v>0</v>
      </c>
      <c r="R41" s="21">
        <v>0</v>
      </c>
      <c r="S41" s="21" t="e">
        <f>+Q41/R41</f>
        <v>#DIV/0!</v>
      </c>
      <c r="T41" s="21">
        <v>0</v>
      </c>
      <c r="U41" s="21">
        <v>0</v>
      </c>
      <c r="V41" s="21" t="e">
        <f>+T41/U41</f>
        <v>#DIV/0!</v>
      </c>
      <c r="W41" s="21"/>
      <c r="X41" s="21"/>
      <c r="Y41" s="21"/>
      <c r="Z41" s="21"/>
      <c r="AA41" s="21"/>
      <c r="AB41" s="21"/>
      <c r="AC41" s="21"/>
      <c r="AD41" s="21"/>
      <c r="AE41" s="21"/>
    </row>
    <row r="42" spans="1:31" ht="12.75">
      <c r="A42" s="21">
        <v>2017</v>
      </c>
      <c r="B42" s="21" t="s">
        <v>131</v>
      </c>
      <c r="C42" s="32" t="s">
        <v>151</v>
      </c>
      <c r="D42" s="16">
        <v>68572</v>
      </c>
      <c r="E42" s="21">
        <f>15+2</f>
        <v>17</v>
      </c>
      <c r="F42" s="21">
        <f>4+2</f>
        <v>6</v>
      </c>
      <c r="G42" s="33">
        <f>E42/F42</f>
        <v>2.8333333333333335</v>
      </c>
      <c r="H42" s="21">
        <f>26+15</f>
        <v>41</v>
      </c>
      <c r="I42" s="21">
        <f>6+3</f>
        <v>9</v>
      </c>
      <c r="J42" s="33">
        <f>H42/I42</f>
        <v>4.555555555555555</v>
      </c>
      <c r="K42" s="21">
        <v>0</v>
      </c>
      <c r="L42" s="21">
        <v>0</v>
      </c>
      <c r="M42" s="30" t="e">
        <f>K42/L42</f>
        <v>#DIV/0!</v>
      </c>
      <c r="N42" s="21">
        <v>0</v>
      </c>
      <c r="O42" s="21">
        <v>0</v>
      </c>
      <c r="P42" s="21" t="e">
        <f>+N42/O42</f>
        <v>#DIV/0!</v>
      </c>
      <c r="Q42" s="21">
        <v>0</v>
      </c>
      <c r="R42" s="21">
        <v>0</v>
      </c>
      <c r="S42" s="21" t="e">
        <f>+Q42/R42</f>
        <v>#DIV/0!</v>
      </c>
      <c r="T42" s="21">
        <v>0</v>
      </c>
      <c r="U42" s="21">
        <v>0</v>
      </c>
      <c r="V42" s="21" t="e">
        <f>+T42/U42</f>
        <v>#DIV/0!</v>
      </c>
      <c r="W42" s="21"/>
      <c r="X42" s="21"/>
      <c r="Y42" s="21"/>
      <c r="Z42" s="21"/>
      <c r="AA42" s="21"/>
      <c r="AB42" s="21"/>
      <c r="AC42" s="21"/>
      <c r="AD42" s="21"/>
      <c r="AE42" s="21"/>
    </row>
    <row r="43" spans="1:31" ht="12.75">
      <c r="A43" s="21">
        <v>2017</v>
      </c>
      <c r="B43" s="21" t="s">
        <v>131</v>
      </c>
      <c r="C43" s="32" t="s">
        <v>142</v>
      </c>
      <c r="D43" s="16">
        <v>73001</v>
      </c>
      <c r="E43" s="21">
        <v>235</v>
      </c>
      <c r="F43" s="21">
        <f>133+144</f>
        <v>277</v>
      </c>
      <c r="G43" s="33">
        <f>E43/F43</f>
        <v>0.8483754512635379</v>
      </c>
      <c r="H43" s="21">
        <v>133</v>
      </c>
      <c r="I43" s="21">
        <v>58</v>
      </c>
      <c r="J43" s="33">
        <f>H43/I43</f>
        <v>2.293103448275862</v>
      </c>
      <c r="K43" s="21">
        <v>0</v>
      </c>
      <c r="L43" s="21">
        <v>6</v>
      </c>
      <c r="M43" s="30">
        <f>K43/L43</f>
        <v>0</v>
      </c>
      <c r="N43" s="21">
        <v>0</v>
      </c>
      <c r="O43" s="21">
        <v>0</v>
      </c>
      <c r="P43" s="21" t="e">
        <f>+N43/O43</f>
        <v>#DIV/0!</v>
      </c>
      <c r="Q43" s="21">
        <v>0</v>
      </c>
      <c r="R43" s="21">
        <v>0</v>
      </c>
      <c r="S43" s="21" t="e">
        <f>+Q43/R43</f>
        <v>#DIV/0!</v>
      </c>
      <c r="T43" s="21">
        <v>0</v>
      </c>
      <c r="U43" s="21">
        <v>0</v>
      </c>
      <c r="V43" s="21" t="e">
        <f>+T43/U43</f>
        <v>#DIV/0!</v>
      </c>
      <c r="W43" s="21"/>
      <c r="X43" s="21"/>
      <c r="Y43" s="21"/>
      <c r="Z43" s="21"/>
      <c r="AA43" s="21"/>
      <c r="AB43" s="21"/>
      <c r="AC43" s="21"/>
      <c r="AD43" s="21"/>
      <c r="AE43" s="21"/>
    </row>
    <row r="44" spans="1:31" ht="12.75">
      <c r="A44" s="21">
        <v>2017</v>
      </c>
      <c r="B44" s="21" t="s">
        <v>131</v>
      </c>
      <c r="C44" s="32" t="s">
        <v>141</v>
      </c>
      <c r="D44" s="16">
        <v>73030</v>
      </c>
      <c r="E44" s="21">
        <v>5</v>
      </c>
      <c r="F44" s="21">
        <v>2</v>
      </c>
      <c r="G44" s="21">
        <f>E44/F44</f>
        <v>2.5</v>
      </c>
      <c r="H44" s="21">
        <v>2</v>
      </c>
      <c r="I44" s="21">
        <v>2</v>
      </c>
      <c r="J44" s="21">
        <f>H44/I44</f>
        <v>1</v>
      </c>
      <c r="K44" s="21">
        <v>0</v>
      </c>
      <c r="L44" s="21">
        <v>0</v>
      </c>
      <c r="M44" s="30" t="e">
        <f>K44/L44</f>
        <v>#DIV/0!</v>
      </c>
      <c r="N44" s="21">
        <v>0</v>
      </c>
      <c r="O44" s="21">
        <v>0</v>
      </c>
      <c r="P44" s="21" t="e">
        <f>+N44/O44</f>
        <v>#DIV/0!</v>
      </c>
      <c r="Q44" s="21">
        <v>0</v>
      </c>
      <c r="R44" s="21">
        <v>0</v>
      </c>
      <c r="S44" s="21" t="e">
        <f>+Q44/R44</f>
        <v>#DIV/0!</v>
      </c>
      <c r="T44" s="21">
        <v>0</v>
      </c>
      <c r="U44" s="21">
        <v>0</v>
      </c>
      <c r="V44" s="21" t="e">
        <f>+T44/U44</f>
        <v>#DIV/0!</v>
      </c>
      <c r="W44" s="21"/>
      <c r="X44" s="21"/>
      <c r="Y44" s="21"/>
      <c r="Z44" s="21"/>
      <c r="AA44" s="21"/>
      <c r="AB44" s="21"/>
      <c r="AC44" s="21"/>
      <c r="AD44" s="21"/>
      <c r="AE44" s="21"/>
    </row>
    <row r="45" spans="1:31" ht="12.75">
      <c r="A45" s="21">
        <v>2017</v>
      </c>
      <c r="B45" s="21" t="s">
        <v>131</v>
      </c>
      <c r="C45" s="32" t="s">
        <v>145</v>
      </c>
      <c r="D45" s="16">
        <v>73349</v>
      </c>
      <c r="E45" s="21">
        <v>0</v>
      </c>
      <c r="F45" s="21">
        <v>5</v>
      </c>
      <c r="G45" s="33">
        <f>E45/F45</f>
        <v>0</v>
      </c>
      <c r="H45" s="21">
        <v>5</v>
      </c>
      <c r="I45" s="21">
        <v>4</v>
      </c>
      <c r="J45" s="21">
        <f>H45/I45</f>
        <v>1.25</v>
      </c>
      <c r="K45" s="21">
        <v>0</v>
      </c>
      <c r="L45" s="21">
        <v>1</v>
      </c>
      <c r="M45" s="30">
        <f>K45/L45</f>
        <v>0</v>
      </c>
      <c r="N45" s="21">
        <v>0</v>
      </c>
      <c r="O45" s="21">
        <v>0</v>
      </c>
      <c r="P45" s="21" t="e">
        <f>+N45/O45</f>
        <v>#DIV/0!</v>
      </c>
      <c r="Q45" s="21">
        <v>0</v>
      </c>
      <c r="R45" s="21">
        <v>0</v>
      </c>
      <c r="S45" s="21" t="e">
        <f>+Q45/R45</f>
        <v>#DIV/0!</v>
      </c>
      <c r="T45" s="21">
        <v>0</v>
      </c>
      <c r="U45" s="21">
        <v>0</v>
      </c>
      <c r="V45" s="21" t="e">
        <f>+T45/U45</f>
        <v>#DIV/0!</v>
      </c>
      <c r="W45" s="21"/>
      <c r="X45" s="21"/>
      <c r="Y45" s="21"/>
      <c r="Z45" s="21"/>
      <c r="AA45" s="21"/>
      <c r="AB45" s="21"/>
      <c r="AC45" s="21"/>
      <c r="AD45" s="21"/>
      <c r="AE45" s="21"/>
    </row>
    <row r="46" spans="1:31" ht="12.75">
      <c r="A46" s="21">
        <v>2017</v>
      </c>
      <c r="B46" s="21" t="s">
        <v>131</v>
      </c>
      <c r="C46" s="32" t="s">
        <v>144</v>
      </c>
      <c r="D46" s="16">
        <v>73443</v>
      </c>
      <c r="E46" s="21">
        <v>1</v>
      </c>
      <c r="F46" s="21">
        <f>43+1</f>
        <v>44</v>
      </c>
      <c r="G46" s="33">
        <f>E46/F46</f>
        <v>0.022727272727272728</v>
      </c>
      <c r="H46" s="21">
        <v>12</v>
      </c>
      <c r="I46" s="21">
        <v>14</v>
      </c>
      <c r="J46" s="33">
        <f>H46/I46</f>
        <v>0.8571428571428571</v>
      </c>
      <c r="K46" s="21">
        <v>0</v>
      </c>
      <c r="L46" s="21">
        <v>2</v>
      </c>
      <c r="M46" s="30">
        <f>K46/L46</f>
        <v>0</v>
      </c>
      <c r="N46" s="21">
        <v>0</v>
      </c>
      <c r="O46" s="21">
        <v>0</v>
      </c>
      <c r="P46" s="21" t="e">
        <f>+N46/O46</f>
        <v>#DIV/0!</v>
      </c>
      <c r="Q46" s="21">
        <v>0</v>
      </c>
      <c r="R46" s="21">
        <v>0</v>
      </c>
      <c r="S46" s="21" t="e">
        <f>+Q46/R46</f>
        <v>#DIV/0!</v>
      </c>
      <c r="T46" s="21">
        <v>0</v>
      </c>
      <c r="U46" s="21">
        <v>0</v>
      </c>
      <c r="V46" s="21" t="e">
        <f>+T46/U46</f>
        <v>#DIV/0!</v>
      </c>
      <c r="W46" s="21"/>
      <c r="X46" s="21"/>
      <c r="Y46" s="21"/>
      <c r="Z46" s="21"/>
      <c r="AA46" s="21"/>
      <c r="AB46" s="21"/>
      <c r="AC46" s="21"/>
      <c r="AD46" s="21"/>
      <c r="AE46" s="21"/>
    </row>
    <row r="47" spans="1:31" ht="12.75">
      <c r="A47" s="21">
        <v>2017</v>
      </c>
      <c r="B47" s="21" t="s">
        <v>131</v>
      </c>
      <c r="C47" s="32" t="s">
        <v>143</v>
      </c>
      <c r="D47" s="16">
        <v>73483</v>
      </c>
      <c r="E47" s="21">
        <v>0</v>
      </c>
      <c r="F47" s="21">
        <v>10</v>
      </c>
      <c r="G47" s="33">
        <f>E47/F47</f>
        <v>0</v>
      </c>
      <c r="H47" s="21">
        <v>5</v>
      </c>
      <c r="I47" s="21">
        <v>8</v>
      </c>
      <c r="J47" s="33">
        <f>H47/I47</f>
        <v>0.625</v>
      </c>
      <c r="K47" s="21">
        <v>0</v>
      </c>
      <c r="L47" s="21">
        <v>0</v>
      </c>
      <c r="M47" s="30" t="e">
        <f>K47/L47</f>
        <v>#DIV/0!</v>
      </c>
      <c r="N47" s="21">
        <v>0</v>
      </c>
      <c r="O47" s="21">
        <v>0</v>
      </c>
      <c r="P47" s="21" t="e">
        <f>+N47/O47</f>
        <v>#DIV/0!</v>
      </c>
      <c r="Q47" s="21">
        <v>0</v>
      </c>
      <c r="R47" s="21">
        <v>0</v>
      </c>
      <c r="S47" s="21" t="e">
        <f>+Q47/R47</f>
        <v>#DIV/0!</v>
      </c>
      <c r="T47" s="21">
        <v>0</v>
      </c>
      <c r="U47" s="21">
        <v>0</v>
      </c>
      <c r="V47" s="21" t="e">
        <f>+T47/U47</f>
        <v>#DIV/0!</v>
      </c>
      <c r="W47" s="21"/>
      <c r="X47" s="21"/>
      <c r="Y47" s="21"/>
      <c r="Z47" s="21"/>
      <c r="AA47" s="21"/>
      <c r="AB47" s="21"/>
      <c r="AC47" s="21"/>
      <c r="AD47" s="21"/>
      <c r="AE47" s="21"/>
    </row>
    <row r="48" spans="1:31" ht="12.75">
      <c r="A48" s="21">
        <v>2017</v>
      </c>
      <c r="B48" s="21" t="s">
        <v>131</v>
      </c>
      <c r="C48" s="21" t="s">
        <v>164</v>
      </c>
      <c r="D48" s="38" t="s">
        <v>210</v>
      </c>
      <c r="E48" s="34">
        <v>6049</v>
      </c>
      <c r="F48" s="34">
        <v>5681</v>
      </c>
      <c r="G48" s="35">
        <f>+E48/F48</f>
        <v>1.0647773279352226</v>
      </c>
      <c r="H48" s="34">
        <v>705</v>
      </c>
      <c r="I48" s="34">
        <v>663</v>
      </c>
      <c r="J48" s="35">
        <f aca="true" t="shared" si="6" ref="J48:J59">+H48/I48</f>
        <v>1.0633484162895928</v>
      </c>
      <c r="K48" s="34" t="s">
        <v>165</v>
      </c>
      <c r="L48" s="34" t="s">
        <v>165</v>
      </c>
      <c r="M48" s="35" t="e">
        <f aca="true" t="shared" si="7" ref="M48:M59">+K48/L48</f>
        <v>#DIV/0!</v>
      </c>
      <c r="N48" s="34">
        <v>98</v>
      </c>
      <c r="O48" s="34">
        <v>15</v>
      </c>
      <c r="P48" s="35">
        <f aca="true" t="shared" si="8" ref="P48:P59">+N48/O48</f>
        <v>6.533333333333333</v>
      </c>
      <c r="Q48" s="34" t="s">
        <v>165</v>
      </c>
      <c r="R48" s="34" t="s">
        <v>165</v>
      </c>
      <c r="S48" s="35" t="e">
        <f aca="true" t="shared" si="9" ref="S48:S59">+Q48/R48</f>
        <v>#DIV/0!</v>
      </c>
      <c r="T48" s="34" t="s">
        <v>165</v>
      </c>
      <c r="U48" s="34" t="s">
        <v>165</v>
      </c>
      <c r="V48" s="35" t="e">
        <f aca="true" t="shared" si="10" ref="V48:V59">+T48/U48</f>
        <v>#DIV/0!</v>
      </c>
      <c r="W48" s="34">
        <v>379</v>
      </c>
      <c r="X48" s="34">
        <v>465</v>
      </c>
      <c r="Y48" s="35">
        <f aca="true" t="shared" si="11" ref="Y48:Y59">+W48/X48</f>
        <v>0.8150537634408602</v>
      </c>
      <c r="Z48" s="34">
        <v>367</v>
      </c>
      <c r="AA48" s="34">
        <v>435</v>
      </c>
      <c r="AB48" s="35">
        <f aca="true" t="shared" si="12" ref="AB48:AB59">+Z48/AA48</f>
        <v>0.8436781609195402</v>
      </c>
      <c r="AC48" s="34" t="s">
        <v>165</v>
      </c>
      <c r="AD48" s="34" t="s">
        <v>165</v>
      </c>
      <c r="AE48" s="35" t="e">
        <f aca="true" t="shared" si="13" ref="AE48:AE59">+AC48/AD48</f>
        <v>#DIV/0!</v>
      </c>
    </row>
    <row r="49" spans="1:31" ht="12.75">
      <c r="A49" s="21">
        <v>2017</v>
      </c>
      <c r="B49" s="21" t="s">
        <v>131</v>
      </c>
      <c r="C49" s="21" t="s">
        <v>166</v>
      </c>
      <c r="D49" s="38" t="s">
        <v>211</v>
      </c>
      <c r="E49" s="34">
        <v>1654</v>
      </c>
      <c r="F49" s="34">
        <v>1439</v>
      </c>
      <c r="G49" s="35">
        <f aca="true" t="shared" si="14" ref="G49:G59">+E49/F49</f>
        <v>1.1494093120222377</v>
      </c>
      <c r="H49" s="34">
        <v>16</v>
      </c>
      <c r="I49" s="34">
        <v>6</v>
      </c>
      <c r="J49" s="35">
        <f t="shared" si="6"/>
        <v>2.6666666666666665</v>
      </c>
      <c r="K49" s="34" t="s">
        <v>165</v>
      </c>
      <c r="L49" s="34" t="s">
        <v>165</v>
      </c>
      <c r="M49" s="35" t="e">
        <f t="shared" si="7"/>
        <v>#DIV/0!</v>
      </c>
      <c r="N49" s="34" t="s">
        <v>165</v>
      </c>
      <c r="O49" s="34" t="s">
        <v>165</v>
      </c>
      <c r="P49" s="35" t="e">
        <f t="shared" si="8"/>
        <v>#DIV/0!</v>
      </c>
      <c r="Q49" s="34" t="s">
        <v>165</v>
      </c>
      <c r="R49" s="34" t="s">
        <v>165</v>
      </c>
      <c r="S49" s="35" t="e">
        <f t="shared" si="9"/>
        <v>#DIV/0!</v>
      </c>
      <c r="T49" s="34" t="s">
        <v>165</v>
      </c>
      <c r="U49" s="34" t="s">
        <v>165</v>
      </c>
      <c r="V49" s="35" t="e">
        <f t="shared" si="10"/>
        <v>#DIV/0!</v>
      </c>
      <c r="W49" s="34">
        <v>0</v>
      </c>
      <c r="X49" s="34">
        <v>0</v>
      </c>
      <c r="Y49" s="35" t="e">
        <f t="shared" si="11"/>
        <v>#DIV/0!</v>
      </c>
      <c r="Z49" s="34">
        <v>0</v>
      </c>
      <c r="AA49" s="34">
        <v>0</v>
      </c>
      <c r="AB49" s="35" t="e">
        <f t="shared" si="12"/>
        <v>#DIV/0!</v>
      </c>
      <c r="AC49" s="34" t="s">
        <v>165</v>
      </c>
      <c r="AD49" s="34" t="s">
        <v>165</v>
      </c>
      <c r="AE49" s="35" t="e">
        <f t="shared" si="13"/>
        <v>#DIV/0!</v>
      </c>
    </row>
    <row r="50" spans="1:31" ht="12.75">
      <c r="A50" s="21">
        <v>2017</v>
      </c>
      <c r="B50" s="21" t="s">
        <v>131</v>
      </c>
      <c r="C50" s="21" t="s">
        <v>167</v>
      </c>
      <c r="D50" s="38" t="s">
        <v>212</v>
      </c>
      <c r="E50" s="34">
        <v>15</v>
      </c>
      <c r="F50" s="34">
        <v>13</v>
      </c>
      <c r="G50" s="35">
        <f t="shared" si="14"/>
        <v>1.1538461538461537</v>
      </c>
      <c r="H50" s="34">
        <v>0</v>
      </c>
      <c r="I50" s="34">
        <v>0</v>
      </c>
      <c r="J50" s="35" t="e">
        <f t="shared" si="6"/>
        <v>#DIV/0!</v>
      </c>
      <c r="K50" s="34" t="s">
        <v>165</v>
      </c>
      <c r="L50" s="34" t="s">
        <v>165</v>
      </c>
      <c r="M50" s="35" t="e">
        <f t="shared" si="7"/>
        <v>#DIV/0!</v>
      </c>
      <c r="N50" s="34" t="s">
        <v>165</v>
      </c>
      <c r="O50" s="34" t="s">
        <v>165</v>
      </c>
      <c r="P50" s="35" t="e">
        <f t="shared" si="8"/>
        <v>#DIV/0!</v>
      </c>
      <c r="Q50" s="34" t="s">
        <v>165</v>
      </c>
      <c r="R50" s="34" t="s">
        <v>165</v>
      </c>
      <c r="S50" s="35" t="e">
        <f t="shared" si="9"/>
        <v>#DIV/0!</v>
      </c>
      <c r="T50" s="34" t="s">
        <v>165</v>
      </c>
      <c r="U50" s="34" t="s">
        <v>165</v>
      </c>
      <c r="V50" s="35" t="e">
        <f t="shared" si="10"/>
        <v>#DIV/0!</v>
      </c>
      <c r="W50" s="34">
        <v>0</v>
      </c>
      <c r="X50" s="34">
        <v>0</v>
      </c>
      <c r="Y50" s="35" t="e">
        <f t="shared" si="11"/>
        <v>#DIV/0!</v>
      </c>
      <c r="Z50" s="34">
        <v>0</v>
      </c>
      <c r="AA50" s="34">
        <v>0</v>
      </c>
      <c r="AB50" s="35" t="e">
        <f t="shared" si="12"/>
        <v>#DIV/0!</v>
      </c>
      <c r="AC50" s="34" t="s">
        <v>165</v>
      </c>
      <c r="AD50" s="34" t="s">
        <v>165</v>
      </c>
      <c r="AE50" s="35" t="e">
        <f t="shared" si="13"/>
        <v>#DIV/0!</v>
      </c>
    </row>
    <row r="51" spans="1:31" ht="12.75">
      <c r="A51" s="21">
        <v>2017</v>
      </c>
      <c r="B51" s="21" t="s">
        <v>131</v>
      </c>
      <c r="C51" s="21" t="s">
        <v>168</v>
      </c>
      <c r="D51" s="38" t="s">
        <v>213</v>
      </c>
      <c r="E51" s="34">
        <v>62</v>
      </c>
      <c r="F51" s="34">
        <v>59</v>
      </c>
      <c r="G51" s="35">
        <f t="shared" si="14"/>
        <v>1.0508474576271187</v>
      </c>
      <c r="H51" s="34">
        <v>2</v>
      </c>
      <c r="I51" s="34">
        <v>1</v>
      </c>
      <c r="J51" s="35">
        <f t="shared" si="6"/>
        <v>2</v>
      </c>
      <c r="K51" s="34" t="s">
        <v>165</v>
      </c>
      <c r="L51" s="34" t="s">
        <v>165</v>
      </c>
      <c r="M51" s="35" t="e">
        <f t="shared" si="7"/>
        <v>#DIV/0!</v>
      </c>
      <c r="N51" s="34" t="s">
        <v>165</v>
      </c>
      <c r="O51" s="34" t="s">
        <v>165</v>
      </c>
      <c r="P51" s="35" t="e">
        <f t="shared" si="8"/>
        <v>#DIV/0!</v>
      </c>
      <c r="Q51" s="34" t="s">
        <v>165</v>
      </c>
      <c r="R51" s="34" t="s">
        <v>165</v>
      </c>
      <c r="S51" s="35" t="e">
        <f t="shared" si="9"/>
        <v>#DIV/0!</v>
      </c>
      <c r="T51" s="34" t="s">
        <v>165</v>
      </c>
      <c r="U51" s="34" t="s">
        <v>165</v>
      </c>
      <c r="V51" s="35" t="e">
        <f t="shared" si="10"/>
        <v>#DIV/0!</v>
      </c>
      <c r="W51" s="34">
        <v>0</v>
      </c>
      <c r="X51" s="34">
        <v>0</v>
      </c>
      <c r="Y51" s="35" t="e">
        <f t="shared" si="11"/>
        <v>#DIV/0!</v>
      </c>
      <c r="Z51" s="34">
        <v>0</v>
      </c>
      <c r="AA51" s="34">
        <v>0</v>
      </c>
      <c r="AB51" s="35" t="e">
        <f t="shared" si="12"/>
        <v>#DIV/0!</v>
      </c>
      <c r="AC51" s="34" t="s">
        <v>165</v>
      </c>
      <c r="AD51" s="34" t="s">
        <v>165</v>
      </c>
      <c r="AE51" s="35" t="e">
        <f t="shared" si="13"/>
        <v>#DIV/0!</v>
      </c>
    </row>
    <row r="52" spans="1:31" ht="12.75">
      <c r="A52" s="21">
        <v>2017</v>
      </c>
      <c r="B52" s="21" t="s">
        <v>131</v>
      </c>
      <c r="C52" s="21" t="s">
        <v>169</v>
      </c>
      <c r="D52" s="38" t="s">
        <v>214</v>
      </c>
      <c r="E52" s="34">
        <v>105</v>
      </c>
      <c r="F52" s="34">
        <v>104</v>
      </c>
      <c r="G52" s="35">
        <f t="shared" si="14"/>
        <v>1.0096153846153846</v>
      </c>
      <c r="H52" s="34">
        <v>5</v>
      </c>
      <c r="I52" s="34">
        <v>3</v>
      </c>
      <c r="J52" s="35">
        <f t="shared" si="6"/>
        <v>1.6666666666666667</v>
      </c>
      <c r="K52" s="34" t="s">
        <v>165</v>
      </c>
      <c r="L52" s="34" t="s">
        <v>165</v>
      </c>
      <c r="M52" s="35" t="e">
        <f t="shared" si="7"/>
        <v>#DIV/0!</v>
      </c>
      <c r="N52" s="34" t="s">
        <v>165</v>
      </c>
      <c r="O52" s="34" t="s">
        <v>165</v>
      </c>
      <c r="P52" s="35" t="e">
        <f t="shared" si="8"/>
        <v>#DIV/0!</v>
      </c>
      <c r="Q52" s="34" t="s">
        <v>165</v>
      </c>
      <c r="R52" s="34" t="s">
        <v>165</v>
      </c>
      <c r="S52" s="35" t="e">
        <f t="shared" si="9"/>
        <v>#DIV/0!</v>
      </c>
      <c r="T52" s="34" t="s">
        <v>165</v>
      </c>
      <c r="U52" s="34" t="s">
        <v>165</v>
      </c>
      <c r="V52" s="35" t="e">
        <f t="shared" si="10"/>
        <v>#DIV/0!</v>
      </c>
      <c r="W52" s="34">
        <v>0</v>
      </c>
      <c r="X52" s="34">
        <v>0</v>
      </c>
      <c r="Y52" s="35" t="e">
        <f t="shared" si="11"/>
        <v>#DIV/0!</v>
      </c>
      <c r="Z52" s="34">
        <v>0</v>
      </c>
      <c r="AA52" s="34">
        <v>0</v>
      </c>
      <c r="AB52" s="35" t="e">
        <f t="shared" si="12"/>
        <v>#DIV/0!</v>
      </c>
      <c r="AC52" s="34" t="s">
        <v>165</v>
      </c>
      <c r="AD52" s="34" t="s">
        <v>165</v>
      </c>
      <c r="AE52" s="35" t="e">
        <f t="shared" si="13"/>
        <v>#DIV/0!</v>
      </c>
    </row>
    <row r="53" spans="1:31" ht="12.75">
      <c r="A53" s="21">
        <v>2017</v>
      </c>
      <c r="B53" s="21" t="s">
        <v>131</v>
      </c>
      <c r="C53" s="21" t="s">
        <v>170</v>
      </c>
      <c r="D53" s="38" t="s">
        <v>215</v>
      </c>
      <c r="E53" s="34">
        <v>343</v>
      </c>
      <c r="F53" s="34">
        <v>336</v>
      </c>
      <c r="G53" s="35">
        <f t="shared" si="14"/>
        <v>1.0208333333333333</v>
      </c>
      <c r="H53" s="34">
        <v>0</v>
      </c>
      <c r="I53" s="34">
        <v>0</v>
      </c>
      <c r="J53" s="35" t="e">
        <f t="shared" si="6"/>
        <v>#DIV/0!</v>
      </c>
      <c r="K53" s="34" t="s">
        <v>165</v>
      </c>
      <c r="L53" s="34" t="s">
        <v>165</v>
      </c>
      <c r="M53" s="35" t="e">
        <f t="shared" si="7"/>
        <v>#DIV/0!</v>
      </c>
      <c r="N53" s="34" t="s">
        <v>165</v>
      </c>
      <c r="O53" s="34" t="s">
        <v>165</v>
      </c>
      <c r="P53" s="35" t="e">
        <f t="shared" si="8"/>
        <v>#DIV/0!</v>
      </c>
      <c r="Q53" s="34" t="s">
        <v>165</v>
      </c>
      <c r="R53" s="34" t="s">
        <v>165</v>
      </c>
      <c r="S53" s="35" t="e">
        <f t="shared" si="9"/>
        <v>#DIV/0!</v>
      </c>
      <c r="T53" s="34" t="s">
        <v>165</v>
      </c>
      <c r="U53" s="34" t="s">
        <v>165</v>
      </c>
      <c r="V53" s="35" t="e">
        <f t="shared" si="10"/>
        <v>#DIV/0!</v>
      </c>
      <c r="W53" s="34">
        <v>0</v>
      </c>
      <c r="X53" s="34">
        <v>0</v>
      </c>
      <c r="Y53" s="35" t="e">
        <f t="shared" si="11"/>
        <v>#DIV/0!</v>
      </c>
      <c r="Z53" s="34">
        <v>0</v>
      </c>
      <c r="AA53" s="34">
        <v>0</v>
      </c>
      <c r="AB53" s="35" t="e">
        <f t="shared" si="12"/>
        <v>#DIV/0!</v>
      </c>
      <c r="AC53" s="34" t="s">
        <v>165</v>
      </c>
      <c r="AD53" s="34" t="s">
        <v>165</v>
      </c>
      <c r="AE53" s="35" t="e">
        <f t="shared" si="13"/>
        <v>#DIV/0!</v>
      </c>
    </row>
    <row r="54" spans="1:31" ht="12.75">
      <c r="A54" s="21">
        <v>2017</v>
      </c>
      <c r="B54" s="21" t="s">
        <v>131</v>
      </c>
      <c r="C54" s="21" t="s">
        <v>171</v>
      </c>
      <c r="D54" s="38" t="s">
        <v>216</v>
      </c>
      <c r="E54" s="34">
        <v>70</v>
      </c>
      <c r="F54" s="34">
        <v>61</v>
      </c>
      <c r="G54" s="35">
        <f t="shared" si="14"/>
        <v>1.1475409836065573</v>
      </c>
      <c r="H54" s="34">
        <v>2</v>
      </c>
      <c r="I54" s="34">
        <v>2</v>
      </c>
      <c r="J54" s="35">
        <f t="shared" si="6"/>
        <v>1</v>
      </c>
      <c r="K54" s="34">
        <v>0</v>
      </c>
      <c r="L54" s="34">
        <v>0</v>
      </c>
      <c r="M54" s="35" t="e">
        <f t="shared" si="7"/>
        <v>#DIV/0!</v>
      </c>
      <c r="N54" s="34" t="s">
        <v>165</v>
      </c>
      <c r="O54" s="34" t="s">
        <v>165</v>
      </c>
      <c r="P54" s="35" t="e">
        <f t="shared" si="8"/>
        <v>#DIV/0!</v>
      </c>
      <c r="Q54" s="34" t="s">
        <v>165</v>
      </c>
      <c r="R54" s="34" t="s">
        <v>165</v>
      </c>
      <c r="S54" s="35" t="e">
        <f t="shared" si="9"/>
        <v>#DIV/0!</v>
      </c>
      <c r="T54" s="34" t="s">
        <v>165</v>
      </c>
      <c r="U54" s="34" t="s">
        <v>165</v>
      </c>
      <c r="V54" s="35" t="e">
        <f t="shared" si="10"/>
        <v>#DIV/0!</v>
      </c>
      <c r="W54" s="34">
        <v>0</v>
      </c>
      <c r="X54" s="34">
        <v>0</v>
      </c>
      <c r="Y54" s="35" t="e">
        <f t="shared" si="11"/>
        <v>#DIV/0!</v>
      </c>
      <c r="Z54" s="34">
        <v>0</v>
      </c>
      <c r="AA54" s="34">
        <v>0</v>
      </c>
      <c r="AB54" s="35" t="e">
        <f t="shared" si="12"/>
        <v>#DIV/0!</v>
      </c>
      <c r="AC54" s="34" t="s">
        <v>165</v>
      </c>
      <c r="AD54" s="34" t="s">
        <v>165</v>
      </c>
      <c r="AE54" s="35" t="e">
        <f t="shared" si="13"/>
        <v>#DIV/0!</v>
      </c>
    </row>
    <row r="55" spans="1:31" ht="12.75">
      <c r="A55" s="21">
        <v>2017</v>
      </c>
      <c r="B55" s="21" t="s">
        <v>131</v>
      </c>
      <c r="C55" s="21" t="s">
        <v>172</v>
      </c>
      <c r="D55" s="38" t="s">
        <v>217</v>
      </c>
      <c r="E55" s="34">
        <v>173</v>
      </c>
      <c r="F55" s="34">
        <v>160</v>
      </c>
      <c r="G55" s="35">
        <f t="shared" si="14"/>
        <v>1.08125</v>
      </c>
      <c r="H55" s="34">
        <v>2</v>
      </c>
      <c r="I55" s="34">
        <v>2</v>
      </c>
      <c r="J55" s="35">
        <f t="shared" si="6"/>
        <v>1</v>
      </c>
      <c r="K55" s="34" t="s">
        <v>165</v>
      </c>
      <c r="L55" s="34" t="s">
        <v>165</v>
      </c>
      <c r="M55" s="35" t="e">
        <f t="shared" si="7"/>
        <v>#DIV/0!</v>
      </c>
      <c r="N55" s="34" t="s">
        <v>165</v>
      </c>
      <c r="O55" s="34" t="s">
        <v>165</v>
      </c>
      <c r="P55" s="35" t="e">
        <f t="shared" si="8"/>
        <v>#DIV/0!</v>
      </c>
      <c r="Q55" s="34" t="s">
        <v>165</v>
      </c>
      <c r="R55" s="34" t="s">
        <v>165</v>
      </c>
      <c r="S55" s="35" t="e">
        <f t="shared" si="9"/>
        <v>#DIV/0!</v>
      </c>
      <c r="T55" s="34" t="s">
        <v>165</v>
      </c>
      <c r="U55" s="34" t="s">
        <v>165</v>
      </c>
      <c r="V55" s="35" t="e">
        <f t="shared" si="10"/>
        <v>#DIV/0!</v>
      </c>
      <c r="W55" s="34">
        <v>0</v>
      </c>
      <c r="X55" s="34">
        <v>0</v>
      </c>
      <c r="Y55" s="35" t="e">
        <f t="shared" si="11"/>
        <v>#DIV/0!</v>
      </c>
      <c r="Z55" s="34">
        <v>0</v>
      </c>
      <c r="AA55" s="34">
        <v>0</v>
      </c>
      <c r="AB55" s="35" t="e">
        <f t="shared" si="12"/>
        <v>#DIV/0!</v>
      </c>
      <c r="AC55" s="34" t="s">
        <v>165</v>
      </c>
      <c r="AD55" s="34" t="s">
        <v>165</v>
      </c>
      <c r="AE55" s="35" t="e">
        <f t="shared" si="13"/>
        <v>#DIV/0!</v>
      </c>
    </row>
    <row r="56" spans="1:31" ht="12.75">
      <c r="A56" s="21">
        <v>2017</v>
      </c>
      <c r="B56" s="21" t="s">
        <v>131</v>
      </c>
      <c r="C56" s="21" t="s">
        <v>173</v>
      </c>
      <c r="D56" s="38" t="s">
        <v>218</v>
      </c>
      <c r="E56" s="34">
        <v>205</v>
      </c>
      <c r="F56" s="34">
        <v>181</v>
      </c>
      <c r="G56" s="35">
        <f t="shared" si="14"/>
        <v>1.132596685082873</v>
      </c>
      <c r="H56" s="34">
        <v>11</v>
      </c>
      <c r="I56" s="34">
        <v>11</v>
      </c>
      <c r="J56" s="35">
        <f t="shared" si="6"/>
        <v>1</v>
      </c>
      <c r="K56" s="34" t="s">
        <v>165</v>
      </c>
      <c r="L56" s="34" t="s">
        <v>165</v>
      </c>
      <c r="M56" s="35" t="e">
        <f t="shared" si="7"/>
        <v>#DIV/0!</v>
      </c>
      <c r="N56" s="34" t="s">
        <v>165</v>
      </c>
      <c r="O56" s="34" t="s">
        <v>165</v>
      </c>
      <c r="P56" s="35" t="e">
        <f t="shared" si="8"/>
        <v>#DIV/0!</v>
      </c>
      <c r="Q56" s="34" t="s">
        <v>165</v>
      </c>
      <c r="R56" s="34" t="s">
        <v>165</v>
      </c>
      <c r="S56" s="35" t="e">
        <f t="shared" si="9"/>
        <v>#DIV/0!</v>
      </c>
      <c r="T56" s="34" t="s">
        <v>165</v>
      </c>
      <c r="U56" s="34" t="s">
        <v>165</v>
      </c>
      <c r="V56" s="35" t="e">
        <f t="shared" si="10"/>
        <v>#DIV/0!</v>
      </c>
      <c r="W56" s="34">
        <v>0</v>
      </c>
      <c r="X56" s="34">
        <v>0</v>
      </c>
      <c r="Y56" s="35" t="e">
        <f t="shared" si="11"/>
        <v>#DIV/0!</v>
      </c>
      <c r="Z56" s="34">
        <v>0</v>
      </c>
      <c r="AA56" s="34">
        <v>0</v>
      </c>
      <c r="AB56" s="35" t="e">
        <f t="shared" si="12"/>
        <v>#DIV/0!</v>
      </c>
      <c r="AC56" s="34" t="s">
        <v>165</v>
      </c>
      <c r="AD56" s="34" t="s">
        <v>165</v>
      </c>
      <c r="AE56" s="35" t="e">
        <f t="shared" si="13"/>
        <v>#DIV/0!</v>
      </c>
    </row>
    <row r="57" spans="1:31" ht="12.75">
      <c r="A57" s="21">
        <v>2017</v>
      </c>
      <c r="B57" s="21" t="s">
        <v>131</v>
      </c>
      <c r="C57" s="21" t="s">
        <v>174</v>
      </c>
      <c r="D57" s="38" t="s">
        <v>219</v>
      </c>
      <c r="E57" s="34">
        <v>206</v>
      </c>
      <c r="F57" s="34">
        <v>186</v>
      </c>
      <c r="G57" s="35">
        <f t="shared" si="14"/>
        <v>1.10752688172043</v>
      </c>
      <c r="H57" s="34">
        <v>6</v>
      </c>
      <c r="I57" s="34">
        <v>5</v>
      </c>
      <c r="J57" s="35">
        <f t="shared" si="6"/>
        <v>1.2</v>
      </c>
      <c r="K57" s="34" t="s">
        <v>165</v>
      </c>
      <c r="L57" s="34" t="s">
        <v>165</v>
      </c>
      <c r="M57" s="35" t="e">
        <f t="shared" si="7"/>
        <v>#DIV/0!</v>
      </c>
      <c r="N57" s="34" t="s">
        <v>165</v>
      </c>
      <c r="O57" s="34" t="s">
        <v>165</v>
      </c>
      <c r="P57" s="35" t="e">
        <f t="shared" si="8"/>
        <v>#DIV/0!</v>
      </c>
      <c r="Q57" s="34" t="s">
        <v>165</v>
      </c>
      <c r="R57" s="34" t="s">
        <v>165</v>
      </c>
      <c r="S57" s="35" t="e">
        <f t="shared" si="9"/>
        <v>#DIV/0!</v>
      </c>
      <c r="T57" s="34" t="s">
        <v>165</v>
      </c>
      <c r="U57" s="34" t="s">
        <v>165</v>
      </c>
      <c r="V57" s="35" t="e">
        <f t="shared" si="10"/>
        <v>#DIV/0!</v>
      </c>
      <c r="W57" s="34">
        <v>0</v>
      </c>
      <c r="X57" s="34">
        <v>0</v>
      </c>
      <c r="Y57" s="35" t="e">
        <f t="shared" si="11"/>
        <v>#DIV/0!</v>
      </c>
      <c r="Z57" s="34">
        <v>0</v>
      </c>
      <c r="AA57" s="34">
        <v>0</v>
      </c>
      <c r="AB57" s="35" t="e">
        <f t="shared" si="12"/>
        <v>#DIV/0!</v>
      </c>
      <c r="AC57" s="34" t="s">
        <v>165</v>
      </c>
      <c r="AD57" s="34" t="s">
        <v>165</v>
      </c>
      <c r="AE57" s="35" t="e">
        <f t="shared" si="13"/>
        <v>#DIV/0!</v>
      </c>
    </row>
    <row r="58" spans="1:31" ht="12.75">
      <c r="A58" s="21">
        <v>2017</v>
      </c>
      <c r="B58" s="21" t="s">
        <v>131</v>
      </c>
      <c r="C58" s="21" t="s">
        <v>175</v>
      </c>
      <c r="D58" s="38" t="s">
        <v>220</v>
      </c>
      <c r="E58" s="34">
        <v>653</v>
      </c>
      <c r="F58" s="34">
        <v>619</v>
      </c>
      <c r="G58" s="35">
        <f t="shared" si="14"/>
        <v>1.0549273021001615</v>
      </c>
      <c r="H58" s="34">
        <v>49</v>
      </c>
      <c r="I58" s="34">
        <v>22</v>
      </c>
      <c r="J58" s="35">
        <f t="shared" si="6"/>
        <v>2.227272727272727</v>
      </c>
      <c r="K58" s="34" t="s">
        <v>165</v>
      </c>
      <c r="L58" s="34" t="s">
        <v>165</v>
      </c>
      <c r="M58" s="35" t="e">
        <f t="shared" si="7"/>
        <v>#DIV/0!</v>
      </c>
      <c r="N58" s="34" t="s">
        <v>165</v>
      </c>
      <c r="O58" s="34" t="s">
        <v>165</v>
      </c>
      <c r="P58" s="35" t="e">
        <f t="shared" si="8"/>
        <v>#DIV/0!</v>
      </c>
      <c r="Q58" s="34" t="s">
        <v>165</v>
      </c>
      <c r="R58" s="34" t="s">
        <v>165</v>
      </c>
      <c r="S58" s="35" t="e">
        <f t="shared" si="9"/>
        <v>#DIV/0!</v>
      </c>
      <c r="T58" s="34" t="s">
        <v>165</v>
      </c>
      <c r="U58" s="34" t="s">
        <v>165</v>
      </c>
      <c r="V58" s="35" t="e">
        <f t="shared" si="10"/>
        <v>#DIV/0!</v>
      </c>
      <c r="W58" s="34">
        <v>0</v>
      </c>
      <c r="X58" s="34">
        <v>0</v>
      </c>
      <c r="Y58" s="35" t="e">
        <f t="shared" si="11"/>
        <v>#DIV/0!</v>
      </c>
      <c r="Z58" s="34">
        <v>0</v>
      </c>
      <c r="AA58" s="34">
        <v>0</v>
      </c>
      <c r="AB58" s="35" t="e">
        <f t="shared" si="12"/>
        <v>#DIV/0!</v>
      </c>
      <c r="AC58" s="34" t="s">
        <v>165</v>
      </c>
      <c r="AD58" s="34" t="s">
        <v>165</v>
      </c>
      <c r="AE58" s="35" t="e">
        <f t="shared" si="13"/>
        <v>#DIV/0!</v>
      </c>
    </row>
    <row r="59" spans="1:31" ht="12.75">
      <c r="A59" s="21">
        <v>2017</v>
      </c>
      <c r="B59" s="21" t="s">
        <v>131</v>
      </c>
      <c r="C59" s="21" t="s">
        <v>176</v>
      </c>
      <c r="D59" s="38" t="s">
        <v>221</v>
      </c>
      <c r="E59" s="34">
        <v>8</v>
      </c>
      <c r="F59" s="34">
        <v>9</v>
      </c>
      <c r="G59" s="35">
        <f t="shared" si="14"/>
        <v>0.8888888888888888</v>
      </c>
      <c r="H59" s="34">
        <v>0</v>
      </c>
      <c r="I59" s="34">
        <v>0</v>
      </c>
      <c r="J59" s="35" t="e">
        <f t="shared" si="6"/>
        <v>#DIV/0!</v>
      </c>
      <c r="K59" s="34" t="s">
        <v>165</v>
      </c>
      <c r="L59" s="34" t="s">
        <v>165</v>
      </c>
      <c r="M59" s="35" t="e">
        <f t="shared" si="7"/>
        <v>#DIV/0!</v>
      </c>
      <c r="N59" s="34" t="s">
        <v>165</v>
      </c>
      <c r="O59" s="34" t="s">
        <v>165</v>
      </c>
      <c r="P59" s="35" t="e">
        <f t="shared" si="8"/>
        <v>#DIV/0!</v>
      </c>
      <c r="Q59" s="34" t="s">
        <v>165</v>
      </c>
      <c r="R59" s="34" t="s">
        <v>165</v>
      </c>
      <c r="S59" s="35" t="e">
        <f t="shared" si="9"/>
        <v>#DIV/0!</v>
      </c>
      <c r="T59" s="34" t="s">
        <v>165</v>
      </c>
      <c r="U59" s="34" t="s">
        <v>165</v>
      </c>
      <c r="V59" s="35" t="e">
        <f t="shared" si="10"/>
        <v>#DIV/0!</v>
      </c>
      <c r="W59" s="34">
        <v>0</v>
      </c>
      <c r="X59" s="34">
        <v>0</v>
      </c>
      <c r="Y59" s="35" t="e">
        <f t="shared" si="11"/>
        <v>#DIV/0!</v>
      </c>
      <c r="Z59" s="34">
        <v>0</v>
      </c>
      <c r="AA59" s="34">
        <v>0</v>
      </c>
      <c r="AB59" s="35" t="e">
        <f t="shared" si="12"/>
        <v>#DIV/0!</v>
      </c>
      <c r="AC59" s="34" t="s">
        <v>165</v>
      </c>
      <c r="AD59" s="34" t="s">
        <v>165</v>
      </c>
      <c r="AE59" s="35" t="e">
        <f t="shared" si="13"/>
        <v>#DIV/0!</v>
      </c>
    </row>
    <row r="60" spans="1:31" ht="12.75">
      <c r="A60" s="21">
        <v>2017</v>
      </c>
      <c r="B60" s="21" t="s">
        <v>131</v>
      </c>
      <c r="C60" s="21" t="s">
        <v>177</v>
      </c>
      <c r="D60" s="38" t="s">
        <v>222</v>
      </c>
      <c r="E60" s="36" t="s">
        <v>178</v>
      </c>
      <c r="F60" s="36" t="s">
        <v>179</v>
      </c>
      <c r="G60" s="22">
        <f>+E60/F60</f>
        <v>0.21951219512195122</v>
      </c>
      <c r="H60" s="36" t="s">
        <v>180</v>
      </c>
      <c r="I60" s="36" t="s">
        <v>178</v>
      </c>
      <c r="J60" s="22">
        <f aca="true" t="shared" si="15" ref="J60:J67">+H60/I60</f>
        <v>0.5925925925925926</v>
      </c>
      <c r="K60" s="36" t="s">
        <v>165</v>
      </c>
      <c r="L60" s="36" t="s">
        <v>165</v>
      </c>
      <c r="M60" s="22" t="e">
        <f aca="true" t="shared" si="16" ref="M60:M67">+K60/L60</f>
        <v>#DIV/0!</v>
      </c>
      <c r="N60" s="36">
        <v>29</v>
      </c>
      <c r="O60" s="36">
        <v>5</v>
      </c>
      <c r="P60" s="22">
        <f aca="true" t="shared" si="17" ref="P60:P67">+N60/O60</f>
        <v>5.8</v>
      </c>
      <c r="Q60" s="36" t="s">
        <v>165</v>
      </c>
      <c r="R60" s="36" t="s">
        <v>165</v>
      </c>
      <c r="S60" s="22" t="e">
        <f aca="true" t="shared" si="18" ref="S60:S67">+Q60/R60</f>
        <v>#DIV/0!</v>
      </c>
      <c r="T60" s="36" t="s">
        <v>165</v>
      </c>
      <c r="U60" s="36" t="s">
        <v>165</v>
      </c>
      <c r="V60" s="22" t="e">
        <f aca="true" t="shared" si="19" ref="V60:V67">+T60/U60</f>
        <v>#DIV/0!</v>
      </c>
      <c r="W60" s="36" t="s">
        <v>181</v>
      </c>
      <c r="X60" s="36" t="s">
        <v>182</v>
      </c>
      <c r="Y60" s="22">
        <f aca="true" t="shared" si="20" ref="Y60:Y67">+W60/X60</f>
        <v>0.7692307692307693</v>
      </c>
      <c r="Z60" s="36" t="s">
        <v>183</v>
      </c>
      <c r="AA60" s="36" t="s">
        <v>182</v>
      </c>
      <c r="AB60" s="22">
        <f aca="true" t="shared" si="21" ref="AB60:AB67">+Z60/AA60</f>
        <v>0.8076923076923077</v>
      </c>
      <c r="AC60" s="36" t="s">
        <v>165</v>
      </c>
      <c r="AD60" s="36" t="s">
        <v>165</v>
      </c>
      <c r="AE60" s="22" t="e">
        <f aca="true" t="shared" si="22" ref="AE60:AE67">+AC60/AD60</f>
        <v>#DIV/0!</v>
      </c>
    </row>
    <row r="61" spans="1:31" ht="12.75">
      <c r="A61" s="21">
        <v>2017</v>
      </c>
      <c r="B61" s="21" t="s">
        <v>131</v>
      </c>
      <c r="C61" s="21" t="s">
        <v>184</v>
      </c>
      <c r="D61" s="38" t="s">
        <v>223</v>
      </c>
      <c r="E61" s="37" t="s">
        <v>165</v>
      </c>
      <c r="F61" s="37" t="s">
        <v>185</v>
      </c>
      <c r="G61" s="22">
        <f aca="true" t="shared" si="23" ref="G61:G67">+E61/F61</f>
        <v>0</v>
      </c>
      <c r="H61" s="37" t="s">
        <v>165</v>
      </c>
      <c r="I61" s="37" t="s">
        <v>165</v>
      </c>
      <c r="J61" s="22" t="e">
        <f t="shared" si="15"/>
        <v>#DIV/0!</v>
      </c>
      <c r="K61" s="36" t="s">
        <v>165</v>
      </c>
      <c r="L61" s="36" t="s">
        <v>165</v>
      </c>
      <c r="M61" s="22" t="e">
        <f t="shared" si="16"/>
        <v>#DIV/0!</v>
      </c>
      <c r="N61" s="36" t="s">
        <v>165</v>
      </c>
      <c r="O61" s="36" t="s">
        <v>165</v>
      </c>
      <c r="P61" s="22" t="e">
        <f t="shared" si="17"/>
        <v>#DIV/0!</v>
      </c>
      <c r="Q61" s="36" t="s">
        <v>165</v>
      </c>
      <c r="R61" s="36" t="s">
        <v>165</v>
      </c>
      <c r="S61" s="22" t="e">
        <f t="shared" si="18"/>
        <v>#DIV/0!</v>
      </c>
      <c r="T61" s="36" t="s">
        <v>165</v>
      </c>
      <c r="U61" s="36" t="s">
        <v>165</v>
      </c>
      <c r="V61" s="22" t="e">
        <f t="shared" si="19"/>
        <v>#DIV/0!</v>
      </c>
      <c r="W61" s="36" t="s">
        <v>165</v>
      </c>
      <c r="X61" s="36" t="s">
        <v>165</v>
      </c>
      <c r="Y61" s="22" t="e">
        <f t="shared" si="20"/>
        <v>#DIV/0!</v>
      </c>
      <c r="Z61" s="36" t="s">
        <v>165</v>
      </c>
      <c r="AA61" s="36" t="s">
        <v>165</v>
      </c>
      <c r="AB61" s="22" t="e">
        <f t="shared" si="21"/>
        <v>#DIV/0!</v>
      </c>
      <c r="AC61" s="36" t="s">
        <v>165</v>
      </c>
      <c r="AD61" s="36" t="s">
        <v>165</v>
      </c>
      <c r="AE61" s="22" t="e">
        <f t="shared" si="22"/>
        <v>#DIV/0!</v>
      </c>
    </row>
    <row r="62" spans="1:31" ht="12.75">
      <c r="A62" s="21">
        <v>2017</v>
      </c>
      <c r="B62" s="21" t="s">
        <v>131</v>
      </c>
      <c r="C62" s="21" t="s">
        <v>186</v>
      </c>
      <c r="D62" s="38" t="s">
        <v>224</v>
      </c>
      <c r="E62" s="37" t="s">
        <v>165</v>
      </c>
      <c r="F62" s="37" t="s">
        <v>187</v>
      </c>
      <c r="G62" s="22">
        <f t="shared" si="23"/>
        <v>0</v>
      </c>
      <c r="H62" s="37" t="s">
        <v>165</v>
      </c>
      <c r="I62" s="37" t="s">
        <v>165</v>
      </c>
      <c r="J62" s="22" t="e">
        <f t="shared" si="15"/>
        <v>#DIV/0!</v>
      </c>
      <c r="K62" s="37" t="s">
        <v>165</v>
      </c>
      <c r="L62" s="37" t="s">
        <v>165</v>
      </c>
      <c r="M62" s="22" t="e">
        <f t="shared" si="16"/>
        <v>#DIV/0!</v>
      </c>
      <c r="N62" s="37" t="s">
        <v>165</v>
      </c>
      <c r="O62" s="37" t="s">
        <v>165</v>
      </c>
      <c r="P62" s="22" t="e">
        <f t="shared" si="17"/>
        <v>#DIV/0!</v>
      </c>
      <c r="Q62" s="37" t="s">
        <v>165</v>
      </c>
      <c r="R62" s="37" t="s">
        <v>165</v>
      </c>
      <c r="S62" s="22" t="e">
        <f t="shared" si="18"/>
        <v>#DIV/0!</v>
      </c>
      <c r="T62" s="37" t="s">
        <v>165</v>
      </c>
      <c r="U62" s="37" t="s">
        <v>165</v>
      </c>
      <c r="V62" s="22" t="e">
        <f t="shared" si="19"/>
        <v>#DIV/0!</v>
      </c>
      <c r="W62" s="37" t="s">
        <v>165</v>
      </c>
      <c r="X62" s="37" t="s">
        <v>165</v>
      </c>
      <c r="Y62" s="22" t="e">
        <f t="shared" si="20"/>
        <v>#DIV/0!</v>
      </c>
      <c r="Z62" s="37" t="s">
        <v>165</v>
      </c>
      <c r="AA62" s="37" t="s">
        <v>165</v>
      </c>
      <c r="AB62" s="22" t="e">
        <f t="shared" si="21"/>
        <v>#DIV/0!</v>
      </c>
      <c r="AC62" s="37" t="s">
        <v>165</v>
      </c>
      <c r="AD62" s="37" t="s">
        <v>165</v>
      </c>
      <c r="AE62" s="22" t="e">
        <f t="shared" si="22"/>
        <v>#DIV/0!</v>
      </c>
    </row>
    <row r="63" spans="1:31" ht="12.75">
      <c r="A63" s="21">
        <v>2017</v>
      </c>
      <c r="B63" s="21" t="s">
        <v>131</v>
      </c>
      <c r="C63" s="21" t="s">
        <v>188</v>
      </c>
      <c r="D63" s="38" t="s">
        <v>225</v>
      </c>
      <c r="E63" s="37" t="s">
        <v>165</v>
      </c>
      <c r="F63" s="37" t="s">
        <v>189</v>
      </c>
      <c r="G63" s="22">
        <f t="shared" si="23"/>
        <v>0</v>
      </c>
      <c r="H63" s="37" t="s">
        <v>165</v>
      </c>
      <c r="I63" s="37" t="s">
        <v>165</v>
      </c>
      <c r="J63" s="22" t="e">
        <f t="shared" si="15"/>
        <v>#DIV/0!</v>
      </c>
      <c r="K63" s="37" t="s">
        <v>165</v>
      </c>
      <c r="L63" s="37" t="s">
        <v>165</v>
      </c>
      <c r="M63" s="22" t="e">
        <f t="shared" si="16"/>
        <v>#DIV/0!</v>
      </c>
      <c r="N63" s="37" t="s">
        <v>165</v>
      </c>
      <c r="O63" s="37" t="s">
        <v>165</v>
      </c>
      <c r="P63" s="22" t="e">
        <f t="shared" si="17"/>
        <v>#DIV/0!</v>
      </c>
      <c r="Q63" s="37" t="s">
        <v>165</v>
      </c>
      <c r="R63" s="37" t="s">
        <v>165</v>
      </c>
      <c r="S63" s="22" t="e">
        <f t="shared" si="18"/>
        <v>#DIV/0!</v>
      </c>
      <c r="T63" s="37" t="s">
        <v>165</v>
      </c>
      <c r="U63" s="37" t="s">
        <v>165</v>
      </c>
      <c r="V63" s="22" t="e">
        <f t="shared" si="19"/>
        <v>#DIV/0!</v>
      </c>
      <c r="W63" s="37" t="s">
        <v>165</v>
      </c>
      <c r="X63" s="37" t="s">
        <v>165</v>
      </c>
      <c r="Y63" s="22" t="e">
        <f t="shared" si="20"/>
        <v>#DIV/0!</v>
      </c>
      <c r="Z63" s="37" t="s">
        <v>165</v>
      </c>
      <c r="AA63" s="37" t="s">
        <v>165</v>
      </c>
      <c r="AB63" s="22" t="e">
        <f t="shared" si="21"/>
        <v>#DIV/0!</v>
      </c>
      <c r="AC63" s="37" t="s">
        <v>165</v>
      </c>
      <c r="AD63" s="37" t="s">
        <v>165</v>
      </c>
      <c r="AE63" s="22" t="e">
        <f t="shared" si="22"/>
        <v>#DIV/0!</v>
      </c>
    </row>
    <row r="64" spans="1:31" ht="12.75">
      <c r="A64" s="21">
        <v>2017</v>
      </c>
      <c r="B64" s="21" t="s">
        <v>131</v>
      </c>
      <c r="C64" s="21" t="s">
        <v>190</v>
      </c>
      <c r="D64" s="38" t="s">
        <v>226</v>
      </c>
      <c r="E64" s="37" t="s">
        <v>165</v>
      </c>
      <c r="F64" s="37" t="s">
        <v>191</v>
      </c>
      <c r="G64" s="22">
        <f t="shared" si="23"/>
        <v>0</v>
      </c>
      <c r="H64" s="37" t="s">
        <v>165</v>
      </c>
      <c r="I64" s="37" t="s">
        <v>165</v>
      </c>
      <c r="J64" s="22" t="e">
        <f t="shared" si="15"/>
        <v>#DIV/0!</v>
      </c>
      <c r="K64" s="37" t="s">
        <v>165</v>
      </c>
      <c r="L64" s="37" t="s">
        <v>165</v>
      </c>
      <c r="M64" s="22" t="e">
        <f t="shared" si="16"/>
        <v>#DIV/0!</v>
      </c>
      <c r="N64" s="37" t="s">
        <v>165</v>
      </c>
      <c r="O64" s="37" t="s">
        <v>165</v>
      </c>
      <c r="P64" s="22" t="e">
        <f t="shared" si="17"/>
        <v>#DIV/0!</v>
      </c>
      <c r="Q64" s="37" t="s">
        <v>165</v>
      </c>
      <c r="R64" s="37" t="s">
        <v>165</v>
      </c>
      <c r="S64" s="22" t="e">
        <f t="shared" si="18"/>
        <v>#DIV/0!</v>
      </c>
      <c r="T64" s="37" t="s">
        <v>165</v>
      </c>
      <c r="U64" s="37" t="s">
        <v>165</v>
      </c>
      <c r="V64" s="22" t="e">
        <f t="shared" si="19"/>
        <v>#DIV/0!</v>
      </c>
      <c r="W64" s="37" t="s">
        <v>165</v>
      </c>
      <c r="X64" s="37" t="s">
        <v>165</v>
      </c>
      <c r="Y64" s="22" t="e">
        <f t="shared" si="20"/>
        <v>#DIV/0!</v>
      </c>
      <c r="Z64" s="37" t="s">
        <v>165</v>
      </c>
      <c r="AA64" s="37" t="s">
        <v>165</v>
      </c>
      <c r="AB64" s="22" t="e">
        <f t="shared" si="21"/>
        <v>#DIV/0!</v>
      </c>
      <c r="AC64" s="37" t="s">
        <v>165</v>
      </c>
      <c r="AD64" s="37" t="s">
        <v>165</v>
      </c>
      <c r="AE64" s="22" t="e">
        <f t="shared" si="22"/>
        <v>#DIV/0!</v>
      </c>
    </row>
    <row r="65" spans="1:31" ht="12.75">
      <c r="A65" s="21">
        <v>2017</v>
      </c>
      <c r="B65" s="21" t="s">
        <v>131</v>
      </c>
      <c r="C65" s="21" t="s">
        <v>192</v>
      </c>
      <c r="D65" s="38" t="s">
        <v>227</v>
      </c>
      <c r="E65" s="37" t="s">
        <v>193</v>
      </c>
      <c r="F65" s="37" t="s">
        <v>194</v>
      </c>
      <c r="G65" s="22">
        <f t="shared" si="23"/>
        <v>0.05263157894736842</v>
      </c>
      <c r="H65" s="37" t="s">
        <v>165</v>
      </c>
      <c r="I65" s="37" t="s">
        <v>165</v>
      </c>
      <c r="J65" s="22" t="e">
        <f t="shared" si="15"/>
        <v>#DIV/0!</v>
      </c>
      <c r="K65" s="37" t="s">
        <v>165</v>
      </c>
      <c r="L65" s="37" t="s">
        <v>165</v>
      </c>
      <c r="M65" s="22" t="e">
        <f t="shared" si="16"/>
        <v>#DIV/0!</v>
      </c>
      <c r="N65" s="37" t="s">
        <v>165</v>
      </c>
      <c r="O65" s="37" t="s">
        <v>165</v>
      </c>
      <c r="P65" s="22" t="e">
        <f t="shared" si="17"/>
        <v>#DIV/0!</v>
      </c>
      <c r="Q65" s="37" t="s">
        <v>165</v>
      </c>
      <c r="R65" s="37" t="s">
        <v>165</v>
      </c>
      <c r="S65" s="22" t="e">
        <f t="shared" si="18"/>
        <v>#DIV/0!</v>
      </c>
      <c r="T65" s="37" t="s">
        <v>165</v>
      </c>
      <c r="U65" s="37" t="s">
        <v>165</v>
      </c>
      <c r="V65" s="22" t="e">
        <f t="shared" si="19"/>
        <v>#DIV/0!</v>
      </c>
      <c r="W65" s="36">
        <v>16</v>
      </c>
      <c r="X65" s="36">
        <v>16</v>
      </c>
      <c r="Y65" s="22">
        <f t="shared" si="20"/>
        <v>1</v>
      </c>
      <c r="Z65" s="36">
        <v>16</v>
      </c>
      <c r="AA65" s="36">
        <v>16</v>
      </c>
      <c r="AB65" s="22">
        <f t="shared" si="21"/>
        <v>1</v>
      </c>
      <c r="AC65" s="37" t="s">
        <v>165</v>
      </c>
      <c r="AD65" s="37" t="s">
        <v>165</v>
      </c>
      <c r="AE65" s="22" t="e">
        <f t="shared" si="22"/>
        <v>#DIV/0!</v>
      </c>
    </row>
    <row r="66" spans="1:31" ht="12.75">
      <c r="A66" s="21">
        <v>2017</v>
      </c>
      <c r="B66" s="21" t="s">
        <v>131</v>
      </c>
      <c r="C66" s="21" t="s">
        <v>195</v>
      </c>
      <c r="D66" s="38" t="s">
        <v>228</v>
      </c>
      <c r="E66" s="37" t="s">
        <v>196</v>
      </c>
      <c r="F66" s="37" t="s">
        <v>197</v>
      </c>
      <c r="G66" s="22">
        <f t="shared" si="23"/>
        <v>3.0060658578856154</v>
      </c>
      <c r="H66" s="37" t="s">
        <v>198</v>
      </c>
      <c r="I66" s="37" t="s">
        <v>199</v>
      </c>
      <c r="J66" s="22">
        <f t="shared" si="15"/>
        <v>0.8338658146964856</v>
      </c>
      <c r="K66" s="37" t="s">
        <v>200</v>
      </c>
      <c r="L66" s="37" t="s">
        <v>201</v>
      </c>
      <c r="M66" s="22">
        <f t="shared" si="16"/>
        <v>2.103448275862069</v>
      </c>
      <c r="N66" s="37" t="s">
        <v>202</v>
      </c>
      <c r="O66" s="37" t="s">
        <v>203</v>
      </c>
      <c r="P66" s="22">
        <f t="shared" si="17"/>
        <v>6.568627450980392</v>
      </c>
      <c r="Q66" s="37" t="s">
        <v>165</v>
      </c>
      <c r="R66" s="37" t="s">
        <v>165</v>
      </c>
      <c r="S66" s="22" t="e">
        <f t="shared" si="18"/>
        <v>#DIV/0!</v>
      </c>
      <c r="T66" s="37" t="s">
        <v>165</v>
      </c>
      <c r="U66" s="37" t="s">
        <v>165</v>
      </c>
      <c r="V66" s="22" t="e">
        <f t="shared" si="19"/>
        <v>#DIV/0!</v>
      </c>
      <c r="W66" s="37">
        <v>181</v>
      </c>
      <c r="X66" s="37" t="s">
        <v>204</v>
      </c>
      <c r="Y66" s="22">
        <f t="shared" si="20"/>
        <v>0.8537735849056604</v>
      </c>
      <c r="Z66" s="37">
        <v>185</v>
      </c>
      <c r="AA66" s="37" t="s">
        <v>204</v>
      </c>
      <c r="AB66" s="22">
        <f t="shared" si="21"/>
        <v>0.8726415094339622</v>
      </c>
      <c r="AC66" s="37" t="s">
        <v>165</v>
      </c>
      <c r="AD66" s="37" t="s">
        <v>165</v>
      </c>
      <c r="AE66" s="22" t="e">
        <f t="shared" si="22"/>
        <v>#DIV/0!</v>
      </c>
    </row>
    <row r="67" spans="1:31" ht="12.75">
      <c r="A67" s="21">
        <v>2017</v>
      </c>
      <c r="B67" s="21" t="s">
        <v>131</v>
      </c>
      <c r="C67" s="21" t="s">
        <v>205</v>
      </c>
      <c r="D67" s="38" t="s">
        <v>229</v>
      </c>
      <c r="E67" s="37" t="s">
        <v>206</v>
      </c>
      <c r="F67" s="37" t="s">
        <v>207</v>
      </c>
      <c r="G67" s="22">
        <f t="shared" si="23"/>
        <v>0.1896551724137931</v>
      </c>
      <c r="H67" s="37" t="s">
        <v>165</v>
      </c>
      <c r="I67" s="37" t="s">
        <v>208</v>
      </c>
      <c r="J67" s="22">
        <f t="shared" si="15"/>
        <v>0</v>
      </c>
      <c r="K67" s="37" t="s">
        <v>165</v>
      </c>
      <c r="L67" s="37" t="s">
        <v>165</v>
      </c>
      <c r="M67" s="22" t="e">
        <f t="shared" si="16"/>
        <v>#DIV/0!</v>
      </c>
      <c r="N67" s="37" t="s">
        <v>165</v>
      </c>
      <c r="O67" s="37" t="s">
        <v>165</v>
      </c>
      <c r="P67" s="22" t="e">
        <f t="shared" si="17"/>
        <v>#DIV/0!</v>
      </c>
      <c r="Q67" s="37" t="s">
        <v>165</v>
      </c>
      <c r="R67" s="37" t="s">
        <v>165</v>
      </c>
      <c r="S67" s="22" t="e">
        <f t="shared" si="18"/>
        <v>#DIV/0!</v>
      </c>
      <c r="T67" s="37" t="s">
        <v>165</v>
      </c>
      <c r="U67" s="37" t="s">
        <v>165</v>
      </c>
      <c r="V67" s="22" t="e">
        <f t="shared" si="19"/>
        <v>#DIV/0!</v>
      </c>
      <c r="W67" s="37" t="s">
        <v>209</v>
      </c>
      <c r="X67" s="37" t="s">
        <v>209</v>
      </c>
      <c r="Y67" s="22">
        <f t="shared" si="20"/>
        <v>1</v>
      </c>
      <c r="Z67" s="37" t="s">
        <v>209</v>
      </c>
      <c r="AA67" s="37" t="s">
        <v>209</v>
      </c>
      <c r="AB67" s="22">
        <f t="shared" si="21"/>
        <v>1</v>
      </c>
      <c r="AC67" s="37" t="s">
        <v>165</v>
      </c>
      <c r="AD67" s="37" t="s">
        <v>165</v>
      </c>
      <c r="AE67" s="22" t="e">
        <f t="shared" si="22"/>
        <v>#DIV/0!</v>
      </c>
    </row>
    <row r="68" spans="1:31" ht="12.75">
      <c r="A68" s="21">
        <v>2017</v>
      </c>
      <c r="B68" s="21" t="s">
        <v>131</v>
      </c>
      <c r="C68" s="21" t="s">
        <v>230</v>
      </c>
      <c r="D68" s="21">
        <v>76001</v>
      </c>
      <c r="E68" s="21">
        <v>4469</v>
      </c>
      <c r="F68" s="21">
        <v>76434</v>
      </c>
      <c r="G68" s="39">
        <f>E68/F68</f>
        <v>0.058468744276107494</v>
      </c>
      <c r="H68" s="21">
        <v>1159</v>
      </c>
      <c r="I68" s="21">
        <v>4515</v>
      </c>
      <c r="J68" s="39">
        <f>H68/I68</f>
        <v>0.2566998892580288</v>
      </c>
      <c r="K68" s="21">
        <v>135</v>
      </c>
      <c r="L68" s="21">
        <v>135</v>
      </c>
      <c r="M68" s="21">
        <f>K68/L68</f>
        <v>1</v>
      </c>
      <c r="N68" s="21">
        <v>46</v>
      </c>
      <c r="O68" s="21">
        <v>46</v>
      </c>
      <c r="P68" s="21">
        <f>N68/O68</f>
        <v>1</v>
      </c>
      <c r="Q68" s="21">
        <v>5</v>
      </c>
      <c r="R68" s="21">
        <v>5</v>
      </c>
      <c r="S68" s="21">
        <f>Q68/R68</f>
        <v>1</v>
      </c>
      <c r="T68" s="21">
        <v>4</v>
      </c>
      <c r="U68" s="21">
        <v>4</v>
      </c>
      <c r="V68" s="21">
        <f>T68/U68</f>
        <v>1</v>
      </c>
      <c r="W68" s="39">
        <v>2314</v>
      </c>
      <c r="X68" s="39">
        <v>2649</v>
      </c>
      <c r="Y68" s="40">
        <f>W68/X68</f>
        <v>0.8735371838429596</v>
      </c>
      <c r="Z68" s="39">
        <v>2280</v>
      </c>
      <c r="AA68" s="39">
        <v>2649</v>
      </c>
      <c r="AB68" s="40">
        <f>Z68/AA68</f>
        <v>0.8607021517553793</v>
      </c>
      <c r="AC68" s="39">
        <v>369</v>
      </c>
      <c r="AD68" s="39">
        <v>2649</v>
      </c>
      <c r="AE68" s="40">
        <f>AC68/AD68</f>
        <v>0.1392978482446206</v>
      </c>
    </row>
    <row r="69" spans="1:31" ht="12.75">
      <c r="A69" s="21">
        <v>2017</v>
      </c>
      <c r="B69" s="21" t="s">
        <v>131</v>
      </c>
      <c r="C69" s="21" t="s">
        <v>231</v>
      </c>
      <c r="D69" s="21">
        <v>76147</v>
      </c>
      <c r="E69" s="21">
        <v>416</v>
      </c>
      <c r="F69" s="21">
        <v>118</v>
      </c>
      <c r="G69" s="39">
        <f aca="true" t="shared" si="24" ref="G69:G80">E69/F69</f>
        <v>3.5254237288135593</v>
      </c>
      <c r="H69" s="21">
        <v>43</v>
      </c>
      <c r="I69" s="21">
        <v>14</v>
      </c>
      <c r="J69" s="39">
        <f aca="true" t="shared" si="25" ref="J69:J80">H69/I69</f>
        <v>3.0714285714285716</v>
      </c>
      <c r="K69" s="21">
        <v>0</v>
      </c>
      <c r="L69" s="21">
        <v>0</v>
      </c>
      <c r="M69" s="21">
        <v>0</v>
      </c>
      <c r="N69" s="21">
        <v>0</v>
      </c>
      <c r="O69" s="21">
        <v>0</v>
      </c>
      <c r="P69" s="21">
        <v>0</v>
      </c>
      <c r="Q69" s="21">
        <v>0</v>
      </c>
      <c r="R69" s="21">
        <v>0</v>
      </c>
      <c r="S69" s="21">
        <v>0</v>
      </c>
      <c r="T69" s="21">
        <v>0</v>
      </c>
      <c r="U69" s="21">
        <v>0</v>
      </c>
      <c r="V69" s="21">
        <v>0</v>
      </c>
      <c r="W69" s="39">
        <v>144</v>
      </c>
      <c r="X69" s="39">
        <v>186</v>
      </c>
      <c r="Y69" s="40">
        <f aca="true" t="shared" si="26" ref="Y69:Y80">W69/X69</f>
        <v>0.7741935483870968</v>
      </c>
      <c r="Z69" s="39">
        <v>130</v>
      </c>
      <c r="AA69" s="39">
        <v>186</v>
      </c>
      <c r="AB69" s="40">
        <f aca="true" t="shared" si="27" ref="AB69:AB80">Z69/AA69</f>
        <v>0.6989247311827957</v>
      </c>
      <c r="AC69" s="39">
        <v>56</v>
      </c>
      <c r="AD69" s="39">
        <v>186</v>
      </c>
      <c r="AE69" s="40">
        <f aca="true" t="shared" si="28" ref="AE69:AE80">AC69/AD69</f>
        <v>0.3010752688172043</v>
      </c>
    </row>
    <row r="70" spans="1:31" ht="12.75">
      <c r="A70" s="21">
        <v>2017</v>
      </c>
      <c r="B70" s="21" t="s">
        <v>131</v>
      </c>
      <c r="C70" s="21" t="s">
        <v>232</v>
      </c>
      <c r="D70" s="21">
        <v>76892</v>
      </c>
      <c r="E70" s="21">
        <v>93</v>
      </c>
      <c r="F70" s="21">
        <v>136</v>
      </c>
      <c r="G70" s="39">
        <f t="shared" si="24"/>
        <v>0.6838235294117647</v>
      </c>
      <c r="H70" s="21">
        <v>0</v>
      </c>
      <c r="I70" s="21">
        <v>10</v>
      </c>
      <c r="J70" s="39">
        <f t="shared" si="25"/>
        <v>0</v>
      </c>
      <c r="K70" s="21">
        <v>0</v>
      </c>
      <c r="L70" s="21">
        <v>0</v>
      </c>
      <c r="M70" s="21">
        <v>0</v>
      </c>
      <c r="N70" s="21">
        <v>0</v>
      </c>
      <c r="O70" s="21">
        <v>0</v>
      </c>
      <c r="P70" s="21">
        <v>0</v>
      </c>
      <c r="Q70" s="21">
        <v>0</v>
      </c>
      <c r="R70" s="21">
        <v>0</v>
      </c>
      <c r="S70" s="21">
        <v>0</v>
      </c>
      <c r="T70" s="21">
        <v>0</v>
      </c>
      <c r="U70" s="21">
        <v>0</v>
      </c>
      <c r="V70" s="21">
        <v>0</v>
      </c>
      <c r="W70" s="39">
        <v>141</v>
      </c>
      <c r="X70" s="39">
        <v>181</v>
      </c>
      <c r="Y70" s="40">
        <f t="shared" si="26"/>
        <v>0.7790055248618785</v>
      </c>
      <c r="Z70" s="39">
        <v>138</v>
      </c>
      <c r="AA70" s="39">
        <v>181</v>
      </c>
      <c r="AB70" s="40">
        <f t="shared" si="27"/>
        <v>0.7624309392265194</v>
      </c>
      <c r="AC70" s="39">
        <v>43</v>
      </c>
      <c r="AD70" s="39">
        <v>181</v>
      </c>
      <c r="AE70" s="40">
        <f t="shared" si="28"/>
        <v>0.23756906077348067</v>
      </c>
    </row>
    <row r="71" spans="1:31" ht="12.75">
      <c r="A71" s="21">
        <v>2017</v>
      </c>
      <c r="B71" s="21" t="s">
        <v>131</v>
      </c>
      <c r="C71" s="21" t="s">
        <v>233</v>
      </c>
      <c r="D71" s="21">
        <v>76109</v>
      </c>
      <c r="E71" s="21">
        <v>2661</v>
      </c>
      <c r="F71" s="21">
        <v>2117</v>
      </c>
      <c r="G71" s="39">
        <f t="shared" si="24"/>
        <v>1.256967406707605</v>
      </c>
      <c r="H71" s="21">
        <v>831</v>
      </c>
      <c r="I71" s="21">
        <v>619</v>
      </c>
      <c r="J71" s="39">
        <f t="shared" si="25"/>
        <v>1.3424878836833603</v>
      </c>
      <c r="K71" s="21">
        <v>0</v>
      </c>
      <c r="L71" s="21">
        <v>0</v>
      </c>
      <c r="M71" s="21">
        <v>0</v>
      </c>
      <c r="N71" s="21">
        <v>0</v>
      </c>
      <c r="O71" s="21">
        <v>0</v>
      </c>
      <c r="P71" s="21">
        <v>0</v>
      </c>
      <c r="Q71" s="21">
        <v>0</v>
      </c>
      <c r="R71" s="21">
        <v>0</v>
      </c>
      <c r="S71" s="21">
        <v>0</v>
      </c>
      <c r="T71" s="21">
        <v>0</v>
      </c>
      <c r="U71" s="21">
        <v>0</v>
      </c>
      <c r="V71" s="21">
        <v>0</v>
      </c>
      <c r="W71" s="39">
        <v>663</v>
      </c>
      <c r="X71" s="39">
        <v>960</v>
      </c>
      <c r="Y71" s="40">
        <f t="shared" si="26"/>
        <v>0.690625</v>
      </c>
      <c r="Z71" s="39">
        <v>648</v>
      </c>
      <c r="AA71" s="39">
        <v>960</v>
      </c>
      <c r="AB71" s="40">
        <f t="shared" si="27"/>
        <v>0.675</v>
      </c>
      <c r="AC71" s="39">
        <v>312</v>
      </c>
      <c r="AD71" s="39">
        <v>960</v>
      </c>
      <c r="AE71" s="40">
        <f t="shared" si="28"/>
        <v>0.325</v>
      </c>
    </row>
    <row r="72" spans="1:31" ht="12.75">
      <c r="A72" s="21">
        <v>2017</v>
      </c>
      <c r="B72" s="21" t="s">
        <v>131</v>
      </c>
      <c r="C72" s="21" t="s">
        <v>234</v>
      </c>
      <c r="D72" s="21">
        <v>76834</v>
      </c>
      <c r="E72" s="21">
        <v>1441</v>
      </c>
      <c r="F72" s="21">
        <v>199</v>
      </c>
      <c r="G72" s="39">
        <f t="shared" si="24"/>
        <v>7.241206030150754</v>
      </c>
      <c r="H72" s="21">
        <v>88</v>
      </c>
      <c r="I72" s="21">
        <v>30</v>
      </c>
      <c r="J72" s="39">
        <f t="shared" si="25"/>
        <v>2.933333333333333</v>
      </c>
      <c r="K72" s="21">
        <v>0</v>
      </c>
      <c r="L72" s="21">
        <v>0</v>
      </c>
      <c r="M72" s="21">
        <v>0</v>
      </c>
      <c r="N72" s="21">
        <v>0</v>
      </c>
      <c r="O72" s="21">
        <v>0</v>
      </c>
      <c r="P72" s="21">
        <v>0</v>
      </c>
      <c r="Q72" s="21">
        <v>0</v>
      </c>
      <c r="R72" s="21">
        <v>0</v>
      </c>
      <c r="S72" s="21">
        <v>0</v>
      </c>
      <c r="T72" s="21">
        <v>0</v>
      </c>
      <c r="U72" s="21">
        <v>0</v>
      </c>
      <c r="V72" s="21">
        <v>0</v>
      </c>
      <c r="W72" s="39">
        <v>135</v>
      </c>
      <c r="X72" s="39">
        <v>172</v>
      </c>
      <c r="Y72" s="40">
        <f t="shared" si="26"/>
        <v>0.7848837209302325</v>
      </c>
      <c r="Z72" s="39">
        <v>149</v>
      </c>
      <c r="AA72" s="39">
        <v>172</v>
      </c>
      <c r="AB72" s="40">
        <f t="shared" si="27"/>
        <v>0.8662790697674418</v>
      </c>
      <c r="AC72" s="39">
        <v>23</v>
      </c>
      <c r="AD72" s="39">
        <v>172</v>
      </c>
      <c r="AE72" s="40">
        <f t="shared" si="28"/>
        <v>0.13372093023255813</v>
      </c>
    </row>
    <row r="73" spans="1:31" ht="12.75">
      <c r="A73" s="21">
        <v>2017</v>
      </c>
      <c r="B73" s="21" t="s">
        <v>131</v>
      </c>
      <c r="C73" s="21" t="s">
        <v>235</v>
      </c>
      <c r="D73" s="21">
        <v>76233</v>
      </c>
      <c r="E73" s="21">
        <v>0</v>
      </c>
      <c r="F73" s="21">
        <v>0</v>
      </c>
      <c r="G73" s="39">
        <v>0</v>
      </c>
      <c r="H73" s="21">
        <v>0</v>
      </c>
      <c r="I73" s="21">
        <v>0</v>
      </c>
      <c r="J73" s="39">
        <v>0</v>
      </c>
      <c r="K73" s="21">
        <v>0</v>
      </c>
      <c r="L73" s="21">
        <v>0</v>
      </c>
      <c r="M73" s="21">
        <v>0</v>
      </c>
      <c r="N73" s="21">
        <v>0</v>
      </c>
      <c r="O73" s="21">
        <v>0</v>
      </c>
      <c r="P73" s="21">
        <v>0</v>
      </c>
      <c r="Q73" s="21">
        <v>0</v>
      </c>
      <c r="R73" s="21">
        <v>0</v>
      </c>
      <c r="S73" s="21">
        <v>0</v>
      </c>
      <c r="T73" s="21">
        <v>0</v>
      </c>
      <c r="U73" s="21">
        <v>0</v>
      </c>
      <c r="V73" s="21">
        <v>0</v>
      </c>
      <c r="W73" s="39">
        <v>129</v>
      </c>
      <c r="X73" s="39">
        <v>142</v>
      </c>
      <c r="Y73" s="40">
        <f t="shared" si="26"/>
        <v>0.9084507042253521</v>
      </c>
      <c r="Z73" s="39">
        <f>93+19</f>
        <v>112</v>
      </c>
      <c r="AA73" s="39">
        <v>142</v>
      </c>
      <c r="AB73" s="40">
        <f t="shared" si="27"/>
        <v>0.7887323943661971</v>
      </c>
      <c r="AC73" s="39">
        <v>30</v>
      </c>
      <c r="AD73" s="39">
        <v>142</v>
      </c>
      <c r="AE73" s="40">
        <f t="shared" si="28"/>
        <v>0.2112676056338028</v>
      </c>
    </row>
    <row r="74" spans="1:31" ht="12.75">
      <c r="A74" s="21">
        <v>2017</v>
      </c>
      <c r="B74" s="21" t="s">
        <v>131</v>
      </c>
      <c r="C74" s="21" t="s">
        <v>236</v>
      </c>
      <c r="D74" s="21">
        <v>17001</v>
      </c>
      <c r="E74" s="21">
        <v>32</v>
      </c>
      <c r="F74" s="21">
        <v>103</v>
      </c>
      <c r="G74" s="39">
        <f t="shared" si="24"/>
        <v>0.3106796116504854</v>
      </c>
      <c r="H74" s="21">
        <v>99</v>
      </c>
      <c r="I74" s="21">
        <v>28</v>
      </c>
      <c r="J74" s="39">
        <f t="shared" si="25"/>
        <v>3.5357142857142856</v>
      </c>
      <c r="K74" s="21">
        <v>0</v>
      </c>
      <c r="L74" s="21">
        <v>0</v>
      </c>
      <c r="M74" s="21">
        <v>0</v>
      </c>
      <c r="N74" s="21">
        <v>0</v>
      </c>
      <c r="O74" s="21">
        <v>0</v>
      </c>
      <c r="P74" s="21">
        <v>0</v>
      </c>
      <c r="Q74" s="21">
        <v>0</v>
      </c>
      <c r="R74" s="21">
        <v>0</v>
      </c>
      <c r="S74" s="21">
        <v>0</v>
      </c>
      <c r="T74" s="21">
        <v>0</v>
      </c>
      <c r="U74" s="21">
        <v>0</v>
      </c>
      <c r="V74" s="21">
        <v>0</v>
      </c>
      <c r="W74" s="39">
        <v>173</v>
      </c>
      <c r="X74" s="39">
        <v>196</v>
      </c>
      <c r="Y74" s="40">
        <f t="shared" si="26"/>
        <v>0.8826530612244898</v>
      </c>
      <c r="Z74" s="39">
        <f>135+27</f>
        <v>162</v>
      </c>
      <c r="AA74" s="39">
        <v>196</v>
      </c>
      <c r="AB74" s="40">
        <f t="shared" si="27"/>
        <v>0.826530612244898</v>
      </c>
      <c r="AC74" s="39">
        <v>34</v>
      </c>
      <c r="AD74" s="39">
        <v>196</v>
      </c>
      <c r="AE74" s="40">
        <f t="shared" si="28"/>
        <v>0.17346938775510204</v>
      </c>
    </row>
    <row r="75" spans="1:31" ht="12.75">
      <c r="A75" s="21">
        <v>2017</v>
      </c>
      <c r="B75" s="21" t="s">
        <v>131</v>
      </c>
      <c r="C75" s="21" t="s">
        <v>237</v>
      </c>
      <c r="D75" s="21">
        <v>76895</v>
      </c>
      <c r="E75" s="21">
        <v>221</v>
      </c>
      <c r="F75" s="21">
        <v>57</v>
      </c>
      <c r="G75" s="39">
        <f t="shared" si="24"/>
        <v>3.8771929824561404</v>
      </c>
      <c r="H75" s="21">
        <v>12</v>
      </c>
      <c r="I75" s="21">
        <v>17</v>
      </c>
      <c r="J75" s="39">
        <f t="shared" si="25"/>
        <v>0.7058823529411765</v>
      </c>
      <c r="K75" s="21">
        <v>0</v>
      </c>
      <c r="L75" s="21">
        <v>0</v>
      </c>
      <c r="M75" s="21">
        <v>0</v>
      </c>
      <c r="N75" s="21">
        <v>0</v>
      </c>
      <c r="O75" s="21">
        <v>0</v>
      </c>
      <c r="P75" s="21">
        <v>0</v>
      </c>
      <c r="Q75" s="21">
        <v>0</v>
      </c>
      <c r="R75" s="21">
        <v>0</v>
      </c>
      <c r="S75" s="21">
        <v>0</v>
      </c>
      <c r="T75" s="21">
        <v>0</v>
      </c>
      <c r="U75" s="21">
        <v>0</v>
      </c>
      <c r="V75" s="21">
        <v>0</v>
      </c>
      <c r="W75" s="39">
        <v>142</v>
      </c>
      <c r="X75" s="39">
        <v>173</v>
      </c>
      <c r="Y75" s="40">
        <f t="shared" si="26"/>
        <v>0.8208092485549133</v>
      </c>
      <c r="Z75" s="39">
        <v>132</v>
      </c>
      <c r="AA75" s="39">
        <v>173</v>
      </c>
      <c r="AB75" s="40">
        <f t="shared" si="27"/>
        <v>0.7630057803468208</v>
      </c>
      <c r="AC75" s="39">
        <v>41</v>
      </c>
      <c r="AD75" s="39">
        <v>173</v>
      </c>
      <c r="AE75" s="40">
        <f t="shared" si="28"/>
        <v>0.23699421965317918</v>
      </c>
    </row>
    <row r="76" spans="1:31" ht="12.75">
      <c r="A76" s="21">
        <v>2017</v>
      </c>
      <c r="B76" s="21" t="s">
        <v>131</v>
      </c>
      <c r="C76" s="21" t="s">
        <v>238</v>
      </c>
      <c r="D76" s="21">
        <v>52835</v>
      </c>
      <c r="E76" s="21">
        <v>19</v>
      </c>
      <c r="F76" s="21">
        <v>227</v>
      </c>
      <c r="G76" s="39">
        <f t="shared" si="24"/>
        <v>0.08370044052863436</v>
      </c>
      <c r="H76" s="21">
        <v>5</v>
      </c>
      <c r="I76" s="21">
        <v>28</v>
      </c>
      <c r="J76" s="39">
        <f t="shared" si="25"/>
        <v>0.17857142857142858</v>
      </c>
      <c r="K76" s="21">
        <v>0</v>
      </c>
      <c r="L76" s="21">
        <v>0</v>
      </c>
      <c r="M76" s="21">
        <v>0</v>
      </c>
      <c r="N76" s="21">
        <v>0</v>
      </c>
      <c r="O76" s="21">
        <v>0</v>
      </c>
      <c r="P76" s="21">
        <v>0</v>
      </c>
      <c r="Q76" s="21">
        <v>0</v>
      </c>
      <c r="R76" s="21">
        <v>0</v>
      </c>
      <c r="S76" s="21">
        <v>0</v>
      </c>
      <c r="T76" s="21">
        <v>0</v>
      </c>
      <c r="U76" s="21">
        <v>0</v>
      </c>
      <c r="V76" s="21">
        <v>0</v>
      </c>
      <c r="W76" s="39">
        <v>127</v>
      </c>
      <c r="X76" s="39">
        <v>164</v>
      </c>
      <c r="Y76" s="40">
        <f t="shared" si="26"/>
        <v>0.774390243902439</v>
      </c>
      <c r="Z76" s="39">
        <v>133</v>
      </c>
      <c r="AA76" s="39">
        <v>164</v>
      </c>
      <c r="AB76" s="40">
        <f t="shared" si="27"/>
        <v>0.8109756097560976</v>
      </c>
      <c r="AC76" s="39">
        <v>31</v>
      </c>
      <c r="AD76" s="39">
        <v>164</v>
      </c>
      <c r="AE76" s="40">
        <f t="shared" si="28"/>
        <v>0.18902439024390244</v>
      </c>
    </row>
    <row r="77" spans="1:31" ht="12.75">
      <c r="A77" s="21">
        <v>2017</v>
      </c>
      <c r="B77" s="21" t="s">
        <v>131</v>
      </c>
      <c r="C77" s="21" t="s">
        <v>239</v>
      </c>
      <c r="D77" s="21">
        <v>19001</v>
      </c>
      <c r="E77" s="21">
        <v>341</v>
      </c>
      <c r="F77" s="21">
        <v>77</v>
      </c>
      <c r="G77" s="39">
        <f t="shared" si="24"/>
        <v>4.428571428571429</v>
      </c>
      <c r="H77" s="21">
        <v>59</v>
      </c>
      <c r="I77" s="21">
        <v>17</v>
      </c>
      <c r="J77" s="39">
        <f t="shared" si="25"/>
        <v>3.4705882352941178</v>
      </c>
      <c r="K77" s="21">
        <v>0</v>
      </c>
      <c r="L77" s="21">
        <v>0</v>
      </c>
      <c r="M77" s="21">
        <v>0</v>
      </c>
      <c r="N77" s="21">
        <v>0</v>
      </c>
      <c r="O77" s="21">
        <v>0</v>
      </c>
      <c r="P77" s="21">
        <v>0</v>
      </c>
      <c r="Q77" s="21">
        <v>0</v>
      </c>
      <c r="R77" s="21">
        <v>0</v>
      </c>
      <c r="S77" s="21">
        <v>0</v>
      </c>
      <c r="T77" s="21">
        <v>0</v>
      </c>
      <c r="U77" s="21">
        <v>0</v>
      </c>
      <c r="V77" s="21">
        <v>0</v>
      </c>
      <c r="W77" s="39">
        <v>114</v>
      </c>
      <c r="X77" s="39">
        <v>138</v>
      </c>
      <c r="Y77" s="40">
        <f t="shared" si="26"/>
        <v>0.8260869565217391</v>
      </c>
      <c r="Z77" s="39">
        <v>116</v>
      </c>
      <c r="AA77" s="39">
        <v>138</v>
      </c>
      <c r="AB77" s="40">
        <f t="shared" si="27"/>
        <v>0.8405797101449275</v>
      </c>
      <c r="AC77" s="39">
        <v>22</v>
      </c>
      <c r="AD77" s="39">
        <v>138</v>
      </c>
      <c r="AE77" s="40">
        <f t="shared" si="28"/>
        <v>0.15942028985507245</v>
      </c>
    </row>
    <row r="78" spans="1:31" ht="12.75">
      <c r="A78" s="21">
        <v>2017</v>
      </c>
      <c r="B78" s="21" t="s">
        <v>131</v>
      </c>
      <c r="C78" s="21" t="s">
        <v>240</v>
      </c>
      <c r="D78" s="21">
        <v>66001</v>
      </c>
      <c r="E78" s="21">
        <v>302</v>
      </c>
      <c r="F78" s="21">
        <v>116</v>
      </c>
      <c r="G78" s="39">
        <f t="shared" si="24"/>
        <v>2.603448275862069</v>
      </c>
      <c r="H78" s="21">
        <v>56</v>
      </c>
      <c r="I78" s="21">
        <v>36</v>
      </c>
      <c r="J78" s="39">
        <f t="shared" si="25"/>
        <v>1.5555555555555556</v>
      </c>
      <c r="K78" s="21">
        <v>0</v>
      </c>
      <c r="L78" s="21">
        <v>0</v>
      </c>
      <c r="M78" s="21">
        <v>0</v>
      </c>
      <c r="N78" s="21">
        <v>0</v>
      </c>
      <c r="O78" s="21">
        <v>0</v>
      </c>
      <c r="P78" s="21">
        <v>0</v>
      </c>
      <c r="Q78" s="21">
        <v>0</v>
      </c>
      <c r="R78" s="21">
        <v>0</v>
      </c>
      <c r="S78" s="21">
        <v>0</v>
      </c>
      <c r="T78" s="21">
        <v>0</v>
      </c>
      <c r="U78" s="21">
        <v>0</v>
      </c>
      <c r="V78" s="21">
        <v>0</v>
      </c>
      <c r="W78" s="39">
        <v>134</v>
      </c>
      <c r="X78" s="39">
        <v>195</v>
      </c>
      <c r="Y78" s="40">
        <f t="shared" si="26"/>
        <v>0.6871794871794872</v>
      </c>
      <c r="Z78" s="39">
        <f>147+26</f>
        <v>173</v>
      </c>
      <c r="AA78" s="39">
        <v>195</v>
      </c>
      <c r="AB78" s="40">
        <f t="shared" si="27"/>
        <v>0.8871794871794871</v>
      </c>
      <c r="AC78" s="39">
        <v>22</v>
      </c>
      <c r="AD78" s="39">
        <v>195</v>
      </c>
      <c r="AE78" s="40">
        <f t="shared" si="28"/>
        <v>0.11282051282051282</v>
      </c>
    </row>
    <row r="79" spans="1:31" ht="12.75">
      <c r="A79" s="21">
        <v>2017</v>
      </c>
      <c r="B79" s="21" t="s">
        <v>131</v>
      </c>
      <c r="C79" s="21" t="s">
        <v>241</v>
      </c>
      <c r="D79" s="21">
        <v>76111</v>
      </c>
      <c r="E79" s="21">
        <v>253</v>
      </c>
      <c r="F79" s="21">
        <v>149</v>
      </c>
      <c r="G79" s="39">
        <f t="shared" si="24"/>
        <v>1.6979865771812082</v>
      </c>
      <c r="H79" s="21">
        <v>43</v>
      </c>
      <c r="I79" s="21">
        <v>28</v>
      </c>
      <c r="J79" s="39">
        <f t="shared" si="25"/>
        <v>1.5357142857142858</v>
      </c>
      <c r="K79" s="21">
        <v>0</v>
      </c>
      <c r="L79" s="21">
        <v>0</v>
      </c>
      <c r="M79" s="21">
        <v>0</v>
      </c>
      <c r="N79" s="21">
        <v>0</v>
      </c>
      <c r="O79" s="21">
        <v>0</v>
      </c>
      <c r="P79" s="21">
        <v>0</v>
      </c>
      <c r="Q79" s="21">
        <v>0</v>
      </c>
      <c r="R79" s="21">
        <v>0</v>
      </c>
      <c r="S79" s="21">
        <v>0</v>
      </c>
      <c r="T79" s="21">
        <v>0</v>
      </c>
      <c r="U79" s="21">
        <v>0</v>
      </c>
      <c r="V79" s="21">
        <v>0</v>
      </c>
      <c r="W79" s="39">
        <v>80</v>
      </c>
      <c r="X79" s="39">
        <v>180</v>
      </c>
      <c r="Y79" s="40">
        <f t="shared" si="26"/>
        <v>0.4444444444444444</v>
      </c>
      <c r="Z79" s="39">
        <v>66</v>
      </c>
      <c r="AA79" s="39">
        <v>180</v>
      </c>
      <c r="AB79" s="40">
        <f t="shared" si="27"/>
        <v>0.36666666666666664</v>
      </c>
      <c r="AC79" s="39">
        <v>114</v>
      </c>
      <c r="AD79" s="39">
        <v>180</v>
      </c>
      <c r="AE79" s="40">
        <f t="shared" si="28"/>
        <v>0.6333333333333333</v>
      </c>
    </row>
    <row r="80" spans="1:31" ht="12.75">
      <c r="A80" s="21">
        <v>2017</v>
      </c>
      <c r="B80" s="21" t="s">
        <v>131</v>
      </c>
      <c r="C80" s="21" t="s">
        <v>242</v>
      </c>
      <c r="D80" s="21">
        <v>63001</v>
      </c>
      <c r="E80" s="21">
        <v>109</v>
      </c>
      <c r="F80" s="21">
        <v>150</v>
      </c>
      <c r="G80" s="39">
        <f t="shared" si="24"/>
        <v>0.7266666666666667</v>
      </c>
      <c r="H80" s="21">
        <v>272</v>
      </c>
      <c r="I80" s="21">
        <v>59</v>
      </c>
      <c r="J80" s="39">
        <f t="shared" si="25"/>
        <v>4.610169491525424</v>
      </c>
      <c r="K80" s="21">
        <v>0</v>
      </c>
      <c r="L80" s="21">
        <v>0</v>
      </c>
      <c r="M80" s="21">
        <v>0</v>
      </c>
      <c r="N80" s="21">
        <v>0</v>
      </c>
      <c r="O80" s="21">
        <v>0</v>
      </c>
      <c r="P80" s="21">
        <v>0</v>
      </c>
      <c r="Q80" s="21">
        <v>0</v>
      </c>
      <c r="R80" s="21">
        <v>0</v>
      </c>
      <c r="S80" s="21">
        <v>0</v>
      </c>
      <c r="T80" s="21">
        <v>0</v>
      </c>
      <c r="U80" s="21">
        <v>0</v>
      </c>
      <c r="V80" s="21">
        <v>0</v>
      </c>
      <c r="W80" s="39">
        <v>126</v>
      </c>
      <c r="X80" s="39">
        <v>188</v>
      </c>
      <c r="Y80" s="40">
        <f t="shared" si="26"/>
        <v>0.6702127659574468</v>
      </c>
      <c r="Z80" s="39">
        <f>115+21</f>
        <v>136</v>
      </c>
      <c r="AA80" s="39">
        <v>188</v>
      </c>
      <c r="AB80" s="40">
        <f t="shared" si="27"/>
        <v>0.723404255319149</v>
      </c>
      <c r="AC80" s="39">
        <v>52</v>
      </c>
      <c r="AD80" s="39">
        <v>188</v>
      </c>
      <c r="AE80" s="40">
        <f t="shared" si="28"/>
        <v>0.2765957446808511</v>
      </c>
    </row>
    <row r="81" spans="1:36" ht="12.75">
      <c r="A81" s="42">
        <v>2017</v>
      </c>
      <c r="B81" s="21" t="s">
        <v>131</v>
      </c>
      <c r="C81" s="43" t="s">
        <v>244</v>
      </c>
      <c r="D81" s="38" t="s">
        <v>246</v>
      </c>
      <c r="E81" s="42">
        <v>10273</v>
      </c>
      <c r="F81" s="42">
        <v>10938</v>
      </c>
      <c r="G81" s="44">
        <v>1.0647327947045653</v>
      </c>
      <c r="H81" s="42">
        <v>2855</v>
      </c>
      <c r="I81" s="42">
        <v>3011</v>
      </c>
      <c r="J81" s="45">
        <v>1.0546409807355517</v>
      </c>
      <c r="K81" s="42">
        <v>1649</v>
      </c>
      <c r="L81" s="42">
        <v>194</v>
      </c>
      <c r="M81" s="46">
        <v>8.5</v>
      </c>
      <c r="N81" s="42">
        <v>1731</v>
      </c>
      <c r="O81" s="42">
        <v>96</v>
      </c>
      <c r="P81" s="46">
        <v>18.03125</v>
      </c>
      <c r="Q81" s="42">
        <v>0</v>
      </c>
      <c r="R81" s="42">
        <v>0</v>
      </c>
      <c r="S81" s="42">
        <v>0</v>
      </c>
      <c r="T81" s="42">
        <v>6</v>
      </c>
      <c r="U81" s="42">
        <v>6</v>
      </c>
      <c r="V81" s="42">
        <v>1</v>
      </c>
      <c r="W81" s="41"/>
      <c r="X81" s="41"/>
      <c r="Y81" s="41"/>
      <c r="Z81" s="41"/>
      <c r="AA81" s="41"/>
      <c r="AB81" s="41"/>
      <c r="AC81" s="41"/>
      <c r="AD81" s="41"/>
      <c r="AE81" s="41"/>
      <c r="AF81" s="47"/>
      <c r="AG81" s="47"/>
      <c r="AH81" s="47"/>
      <c r="AI81" s="47"/>
      <c r="AJ81" s="47"/>
    </row>
    <row r="82" spans="1:31" ht="12.75">
      <c r="A82" s="42">
        <v>2017</v>
      </c>
      <c r="B82" s="21" t="s">
        <v>131</v>
      </c>
      <c r="C82" s="48" t="s">
        <v>245</v>
      </c>
      <c r="D82" s="38" t="s">
        <v>247</v>
      </c>
      <c r="E82" s="21">
        <v>4738</v>
      </c>
      <c r="F82" s="21">
        <v>4720</v>
      </c>
      <c r="G82" s="44">
        <v>0.9962009286618827</v>
      </c>
      <c r="H82" s="21">
        <v>1148</v>
      </c>
      <c r="I82" s="21">
        <v>1148</v>
      </c>
      <c r="J82" s="46">
        <v>1</v>
      </c>
      <c r="K82" s="21"/>
      <c r="L82" s="21"/>
      <c r="M82" s="21"/>
      <c r="N82" s="21"/>
      <c r="O82" s="21"/>
      <c r="P82" s="21"/>
      <c r="Q82" s="21"/>
      <c r="R82" s="21"/>
      <c r="S82" s="21"/>
      <c r="T82" s="21"/>
      <c r="U82" s="21"/>
      <c r="V82" s="21"/>
      <c r="W82" s="39"/>
      <c r="X82" s="39"/>
      <c r="Y82" s="39"/>
      <c r="Z82" s="39"/>
      <c r="AA82" s="39"/>
      <c r="AB82" s="39"/>
      <c r="AC82" s="39"/>
      <c r="AD82" s="39"/>
      <c r="AE82" s="39"/>
    </row>
    <row r="83" spans="1:31" ht="12.75">
      <c r="A83" s="42">
        <v>2017</v>
      </c>
      <c r="B83" s="21" t="s">
        <v>131</v>
      </c>
      <c r="C83" s="21" t="s">
        <v>248</v>
      </c>
      <c r="D83" s="21">
        <v>13001</v>
      </c>
      <c r="E83" s="42">
        <v>2138</v>
      </c>
      <c r="F83" s="42">
        <v>2138</v>
      </c>
      <c r="G83" s="42">
        <f>+E83/F83</f>
        <v>1</v>
      </c>
      <c r="H83" s="42">
        <v>423</v>
      </c>
      <c r="I83" s="42">
        <v>423</v>
      </c>
      <c r="J83" s="42">
        <f>+H83/I83</f>
        <v>1</v>
      </c>
      <c r="K83" s="42">
        <v>987</v>
      </c>
      <c r="L83" s="42">
        <v>186</v>
      </c>
      <c r="M83" s="49">
        <f>+K83/L83</f>
        <v>5.306451612903226</v>
      </c>
      <c r="N83" s="42">
        <v>37</v>
      </c>
      <c r="O83" s="42">
        <v>15</v>
      </c>
      <c r="P83" s="49">
        <f>+N83/O83</f>
        <v>2.466666666666667</v>
      </c>
      <c r="Q83" s="42">
        <v>0</v>
      </c>
      <c r="R83" s="42">
        <v>0</v>
      </c>
      <c r="S83" s="49" t="e">
        <f>+Q83/R83</f>
        <v>#DIV/0!</v>
      </c>
      <c r="T83" s="42">
        <v>0</v>
      </c>
      <c r="U83" s="42">
        <v>0</v>
      </c>
      <c r="V83" s="49" t="e">
        <f>+T83/U83</f>
        <v>#DIV/0!</v>
      </c>
      <c r="W83" s="50">
        <v>372</v>
      </c>
      <c r="X83" s="50">
        <v>376</v>
      </c>
      <c r="Y83" s="51">
        <f>+W83/X83</f>
        <v>0.9893617021276596</v>
      </c>
      <c r="Z83" s="50"/>
      <c r="AA83" s="50"/>
      <c r="AB83" s="50"/>
      <c r="AC83" s="21"/>
      <c r="AD83" s="21"/>
      <c r="AE83" s="21"/>
    </row>
    <row r="84" spans="1:31" ht="12.75">
      <c r="A84" s="42">
        <v>2017</v>
      </c>
      <c r="B84" s="21" t="s">
        <v>131</v>
      </c>
      <c r="C84" s="21" t="s">
        <v>249</v>
      </c>
      <c r="D84" s="21">
        <v>13760</v>
      </c>
      <c r="E84" s="21">
        <v>89</v>
      </c>
      <c r="F84" s="21">
        <v>89</v>
      </c>
      <c r="G84" s="52">
        <f>E84/F84</f>
        <v>1</v>
      </c>
      <c r="H84" s="21">
        <v>17</v>
      </c>
      <c r="I84" s="21">
        <v>17</v>
      </c>
      <c r="J84" s="53">
        <f>H84/I84</f>
        <v>1</v>
      </c>
      <c r="K84" s="21"/>
      <c r="L84" s="21"/>
      <c r="M84" s="21"/>
      <c r="N84" s="21"/>
      <c r="O84" s="21"/>
      <c r="P84" s="21"/>
      <c r="Q84" s="21"/>
      <c r="R84" s="21"/>
      <c r="S84" s="21"/>
      <c r="T84" s="21"/>
      <c r="U84" s="21"/>
      <c r="V84" s="21"/>
      <c r="W84" s="39"/>
      <c r="X84" s="39"/>
      <c r="Y84" s="39"/>
      <c r="Z84" s="39"/>
      <c r="AA84" s="39"/>
      <c r="AB84" s="39"/>
      <c r="AC84" s="21"/>
      <c r="AD84" s="21"/>
      <c r="AE84" s="21"/>
    </row>
    <row r="85" spans="1:31" ht="12.75">
      <c r="A85" s="21">
        <v>2017</v>
      </c>
      <c r="B85" s="21" t="s">
        <v>131</v>
      </c>
      <c r="C85" s="21" t="s">
        <v>250</v>
      </c>
      <c r="D85" s="21">
        <v>47001</v>
      </c>
      <c r="E85" s="21">
        <v>10146</v>
      </c>
      <c r="F85" s="21">
        <v>8216</v>
      </c>
      <c r="G85" s="22">
        <f>+E85/F85</f>
        <v>1.2349074975657255</v>
      </c>
      <c r="H85" s="21">
        <v>3231</v>
      </c>
      <c r="I85" s="21">
        <v>1675</v>
      </c>
      <c r="J85" s="22">
        <f aca="true" t="shared" si="29" ref="J85:J91">+H85/I85</f>
        <v>1.928955223880597</v>
      </c>
      <c r="K85" s="21">
        <v>168</v>
      </c>
      <c r="L85" s="21">
        <v>168</v>
      </c>
      <c r="M85" s="21">
        <f>+K85/L85</f>
        <v>1</v>
      </c>
      <c r="N85" s="21">
        <v>38</v>
      </c>
      <c r="O85" s="21">
        <v>38</v>
      </c>
      <c r="P85" s="21">
        <f>+N85/O85</f>
        <v>1</v>
      </c>
      <c r="Q85" s="21">
        <v>0</v>
      </c>
      <c r="R85" s="21">
        <v>0</v>
      </c>
      <c r="S85" s="21" t="e">
        <f aca="true" t="shared" si="30" ref="S85:S91">+Q85/R85</f>
        <v>#DIV/0!</v>
      </c>
      <c r="T85" s="21">
        <v>0</v>
      </c>
      <c r="U85" s="21">
        <v>0</v>
      </c>
      <c r="V85" s="21" t="e">
        <f aca="true" t="shared" si="31" ref="V85:V91">+T85/U85</f>
        <v>#DIV/0!</v>
      </c>
      <c r="W85" s="39">
        <v>1146</v>
      </c>
      <c r="X85" s="39">
        <v>697</v>
      </c>
      <c r="Y85" s="21">
        <f aca="true" t="shared" si="32" ref="Y85:Y91">+W85/X85</f>
        <v>1.6441893830703014</v>
      </c>
      <c r="Z85" s="39">
        <v>0</v>
      </c>
      <c r="AA85" s="39">
        <v>0</v>
      </c>
      <c r="AB85" s="21" t="e">
        <f aca="true" t="shared" si="33" ref="AB85:AB91">+Z85/AA85</f>
        <v>#DIV/0!</v>
      </c>
      <c r="AC85" s="39">
        <v>0</v>
      </c>
      <c r="AD85" s="39">
        <v>0</v>
      </c>
      <c r="AE85" s="21" t="e">
        <f aca="true" t="shared" si="34" ref="AE85:AE91">+AC85/AD85</f>
        <v>#DIV/0!</v>
      </c>
    </row>
    <row r="86" spans="1:31" ht="12.75">
      <c r="A86" s="21">
        <v>2017</v>
      </c>
      <c r="B86" s="21" t="s">
        <v>131</v>
      </c>
      <c r="C86" s="21" t="s">
        <v>251</v>
      </c>
      <c r="D86" s="21">
        <v>47189</v>
      </c>
      <c r="E86" s="21">
        <v>1514</v>
      </c>
      <c r="F86" s="21">
        <v>1514</v>
      </c>
      <c r="G86" s="22">
        <f aca="true" t="shared" si="35" ref="G86:G91">+E86/F86</f>
        <v>1</v>
      </c>
      <c r="H86" s="21">
        <v>158</v>
      </c>
      <c r="I86" s="21">
        <v>158</v>
      </c>
      <c r="J86" s="22">
        <f t="shared" si="29"/>
        <v>1</v>
      </c>
      <c r="K86" s="21">
        <v>0</v>
      </c>
      <c r="L86" s="21">
        <v>0</v>
      </c>
      <c r="M86" s="21"/>
      <c r="N86" s="21">
        <v>0</v>
      </c>
      <c r="O86" s="21">
        <v>0</v>
      </c>
      <c r="P86" s="21" t="e">
        <f aca="true" t="shared" si="36" ref="P86:P91">+N86/O86</f>
        <v>#DIV/0!</v>
      </c>
      <c r="Q86" s="21">
        <v>0</v>
      </c>
      <c r="R86" s="21">
        <v>0</v>
      </c>
      <c r="S86" s="21" t="e">
        <f t="shared" si="30"/>
        <v>#DIV/0!</v>
      </c>
      <c r="T86" s="21">
        <v>0</v>
      </c>
      <c r="U86" s="21">
        <v>0</v>
      </c>
      <c r="V86" s="21" t="e">
        <f t="shared" si="31"/>
        <v>#DIV/0!</v>
      </c>
      <c r="W86" s="21">
        <v>0</v>
      </c>
      <c r="X86" s="21">
        <v>0</v>
      </c>
      <c r="Y86" s="21" t="e">
        <f t="shared" si="32"/>
        <v>#DIV/0!</v>
      </c>
      <c r="Z86" s="39">
        <v>0</v>
      </c>
      <c r="AA86" s="39">
        <v>0</v>
      </c>
      <c r="AB86" s="21" t="e">
        <f t="shared" si="33"/>
        <v>#DIV/0!</v>
      </c>
      <c r="AC86" s="39">
        <v>0</v>
      </c>
      <c r="AD86" s="39">
        <v>0</v>
      </c>
      <c r="AE86" s="21" t="e">
        <f t="shared" si="34"/>
        <v>#DIV/0!</v>
      </c>
    </row>
    <row r="87" spans="1:31" ht="12.75">
      <c r="A87" s="21">
        <v>2017</v>
      </c>
      <c r="B87" s="21" t="s">
        <v>131</v>
      </c>
      <c r="C87" s="21" t="s">
        <v>252</v>
      </c>
      <c r="D87" s="21">
        <v>47288</v>
      </c>
      <c r="E87" s="21">
        <v>363</v>
      </c>
      <c r="F87" s="21">
        <v>268</v>
      </c>
      <c r="G87" s="22">
        <f t="shared" si="35"/>
        <v>1.3544776119402986</v>
      </c>
      <c r="H87" s="21">
        <v>7</v>
      </c>
      <c r="I87" s="21">
        <v>7</v>
      </c>
      <c r="J87" s="22">
        <f t="shared" si="29"/>
        <v>1</v>
      </c>
      <c r="K87" s="21">
        <v>0</v>
      </c>
      <c r="L87" s="21">
        <v>0</v>
      </c>
      <c r="M87" s="21"/>
      <c r="N87" s="21">
        <v>0</v>
      </c>
      <c r="O87" s="21">
        <v>0</v>
      </c>
      <c r="P87" s="21" t="e">
        <f t="shared" si="36"/>
        <v>#DIV/0!</v>
      </c>
      <c r="Q87" s="21">
        <v>0</v>
      </c>
      <c r="R87" s="21">
        <v>0</v>
      </c>
      <c r="S87" s="21" t="e">
        <f t="shared" si="30"/>
        <v>#DIV/0!</v>
      </c>
      <c r="T87" s="21">
        <v>0</v>
      </c>
      <c r="U87" s="21">
        <v>0</v>
      </c>
      <c r="V87" s="21" t="e">
        <f t="shared" si="31"/>
        <v>#DIV/0!</v>
      </c>
      <c r="W87" s="21">
        <v>0</v>
      </c>
      <c r="X87" s="21">
        <v>0</v>
      </c>
      <c r="Y87" s="21" t="e">
        <f t="shared" si="32"/>
        <v>#DIV/0!</v>
      </c>
      <c r="Z87" s="39">
        <v>0</v>
      </c>
      <c r="AA87" s="39">
        <v>0</v>
      </c>
      <c r="AB87" s="21" t="e">
        <f t="shared" si="33"/>
        <v>#DIV/0!</v>
      </c>
      <c r="AC87" s="39">
        <v>0</v>
      </c>
      <c r="AD87" s="39">
        <v>0</v>
      </c>
      <c r="AE87" s="21" t="e">
        <f t="shared" si="34"/>
        <v>#DIV/0!</v>
      </c>
    </row>
    <row r="88" spans="1:31" ht="12.75">
      <c r="A88" s="27">
        <v>2017</v>
      </c>
      <c r="B88" s="21" t="s">
        <v>131</v>
      </c>
      <c r="C88" s="27" t="s">
        <v>253</v>
      </c>
      <c r="D88" s="21">
        <v>20001</v>
      </c>
      <c r="E88" s="27">
        <v>244</v>
      </c>
      <c r="F88" s="27">
        <v>244</v>
      </c>
      <c r="G88" s="22">
        <f t="shared" si="35"/>
        <v>1</v>
      </c>
      <c r="H88" s="27">
        <v>26</v>
      </c>
      <c r="I88" s="27">
        <v>14</v>
      </c>
      <c r="J88" s="22">
        <f t="shared" si="29"/>
        <v>1.8571428571428572</v>
      </c>
      <c r="K88" s="27">
        <v>0</v>
      </c>
      <c r="L88" s="27">
        <v>0</v>
      </c>
      <c r="M88" s="27"/>
      <c r="N88" s="27">
        <v>2</v>
      </c>
      <c r="O88" s="27">
        <v>2</v>
      </c>
      <c r="P88" s="21">
        <f t="shared" si="36"/>
        <v>1</v>
      </c>
      <c r="Q88" s="27">
        <v>0</v>
      </c>
      <c r="R88" s="27">
        <v>0</v>
      </c>
      <c r="S88" s="21" t="e">
        <f t="shared" si="30"/>
        <v>#DIV/0!</v>
      </c>
      <c r="T88" s="27">
        <v>0</v>
      </c>
      <c r="U88" s="27">
        <v>0</v>
      </c>
      <c r="V88" s="21" t="e">
        <f t="shared" si="31"/>
        <v>#DIV/0!</v>
      </c>
      <c r="W88" s="21">
        <v>0</v>
      </c>
      <c r="X88" s="21">
        <v>0</v>
      </c>
      <c r="Y88" s="21" t="e">
        <f t="shared" si="32"/>
        <v>#DIV/0!</v>
      </c>
      <c r="Z88" s="39">
        <v>0</v>
      </c>
      <c r="AA88" s="39">
        <v>0</v>
      </c>
      <c r="AB88" s="21" t="e">
        <f t="shared" si="33"/>
        <v>#DIV/0!</v>
      </c>
      <c r="AC88" s="39">
        <v>0</v>
      </c>
      <c r="AD88" s="39">
        <v>0</v>
      </c>
      <c r="AE88" s="21" t="e">
        <f t="shared" si="34"/>
        <v>#DIV/0!</v>
      </c>
    </row>
    <row r="89" spans="1:31" ht="12.75">
      <c r="A89" s="27">
        <v>2017</v>
      </c>
      <c r="B89" s="21" t="s">
        <v>131</v>
      </c>
      <c r="C89" s="27" t="s">
        <v>254</v>
      </c>
      <c r="D89" s="21">
        <v>20060</v>
      </c>
      <c r="E89" s="27">
        <v>447</v>
      </c>
      <c r="F89" s="27">
        <v>266</v>
      </c>
      <c r="G89" s="22">
        <f t="shared" si="35"/>
        <v>1.6804511278195489</v>
      </c>
      <c r="H89" s="27">
        <v>1</v>
      </c>
      <c r="I89" s="27">
        <v>1</v>
      </c>
      <c r="J89" s="22">
        <f t="shared" si="29"/>
        <v>1</v>
      </c>
      <c r="K89" s="27">
        <v>0</v>
      </c>
      <c r="L89" s="27">
        <v>0</v>
      </c>
      <c r="M89" s="27"/>
      <c r="N89" s="27">
        <v>0</v>
      </c>
      <c r="O89" s="27">
        <v>0</v>
      </c>
      <c r="P89" s="21" t="e">
        <f t="shared" si="36"/>
        <v>#DIV/0!</v>
      </c>
      <c r="Q89" s="27">
        <v>0</v>
      </c>
      <c r="R89" s="27">
        <v>0</v>
      </c>
      <c r="S89" s="21" t="e">
        <f t="shared" si="30"/>
        <v>#DIV/0!</v>
      </c>
      <c r="T89" s="27">
        <v>0</v>
      </c>
      <c r="U89" s="27">
        <v>0</v>
      </c>
      <c r="V89" s="21" t="e">
        <f t="shared" si="31"/>
        <v>#DIV/0!</v>
      </c>
      <c r="W89" s="21">
        <v>0</v>
      </c>
      <c r="X89" s="21">
        <v>0</v>
      </c>
      <c r="Y89" s="21" t="e">
        <f t="shared" si="32"/>
        <v>#DIV/0!</v>
      </c>
      <c r="Z89" s="39">
        <v>0</v>
      </c>
      <c r="AA89" s="39">
        <v>0</v>
      </c>
      <c r="AB89" s="21" t="e">
        <f t="shared" si="33"/>
        <v>#DIV/0!</v>
      </c>
      <c r="AC89" s="39">
        <v>0</v>
      </c>
      <c r="AD89" s="39">
        <v>0</v>
      </c>
      <c r="AE89" s="21" t="e">
        <f t="shared" si="34"/>
        <v>#DIV/0!</v>
      </c>
    </row>
    <row r="90" spans="1:31" ht="12.75">
      <c r="A90" s="27">
        <v>2017</v>
      </c>
      <c r="B90" s="21" t="s">
        <v>131</v>
      </c>
      <c r="C90" s="27" t="s">
        <v>255</v>
      </c>
      <c r="D90" s="21">
        <v>20178</v>
      </c>
      <c r="E90" s="27">
        <v>232</v>
      </c>
      <c r="F90" s="27">
        <v>232</v>
      </c>
      <c r="G90" s="22">
        <f t="shared" si="35"/>
        <v>1</v>
      </c>
      <c r="H90" s="27">
        <v>24</v>
      </c>
      <c r="I90" s="27">
        <v>24</v>
      </c>
      <c r="J90" s="22">
        <f t="shared" si="29"/>
        <v>1</v>
      </c>
      <c r="K90" s="27">
        <v>0</v>
      </c>
      <c r="L90" s="27">
        <v>0</v>
      </c>
      <c r="M90" s="27"/>
      <c r="N90" s="27">
        <v>0</v>
      </c>
      <c r="O90" s="27">
        <v>0</v>
      </c>
      <c r="P90" s="21" t="e">
        <f t="shared" si="36"/>
        <v>#DIV/0!</v>
      </c>
      <c r="Q90" s="27">
        <v>0</v>
      </c>
      <c r="R90" s="27">
        <v>0</v>
      </c>
      <c r="S90" s="21" t="e">
        <f t="shared" si="30"/>
        <v>#DIV/0!</v>
      </c>
      <c r="T90" s="27">
        <v>0</v>
      </c>
      <c r="U90" s="27">
        <v>0</v>
      </c>
      <c r="V90" s="21" t="e">
        <f t="shared" si="31"/>
        <v>#DIV/0!</v>
      </c>
      <c r="W90" s="21">
        <v>0</v>
      </c>
      <c r="X90" s="21">
        <v>0</v>
      </c>
      <c r="Y90" s="21" t="e">
        <f t="shared" si="32"/>
        <v>#DIV/0!</v>
      </c>
      <c r="Z90" s="39">
        <v>0</v>
      </c>
      <c r="AA90" s="39">
        <v>0</v>
      </c>
      <c r="AB90" s="21" t="e">
        <f t="shared" si="33"/>
        <v>#DIV/0!</v>
      </c>
      <c r="AC90" s="39">
        <v>0</v>
      </c>
      <c r="AD90" s="39">
        <v>0</v>
      </c>
      <c r="AE90" s="21" t="e">
        <f t="shared" si="34"/>
        <v>#DIV/0!</v>
      </c>
    </row>
    <row r="91" spans="1:31" ht="12.75">
      <c r="A91" s="27">
        <v>2017</v>
      </c>
      <c r="B91" s="21" t="s">
        <v>131</v>
      </c>
      <c r="C91" s="27" t="s">
        <v>256</v>
      </c>
      <c r="D91" s="21">
        <v>20228</v>
      </c>
      <c r="E91" s="27">
        <v>99</v>
      </c>
      <c r="F91" s="27">
        <v>81</v>
      </c>
      <c r="G91" s="22">
        <f t="shared" si="35"/>
        <v>1.2222222222222223</v>
      </c>
      <c r="H91" s="27">
        <v>0</v>
      </c>
      <c r="I91" s="27">
        <v>0</v>
      </c>
      <c r="J91" s="22" t="e">
        <f t="shared" si="29"/>
        <v>#DIV/0!</v>
      </c>
      <c r="K91" s="27">
        <v>0</v>
      </c>
      <c r="L91" s="27">
        <v>0</v>
      </c>
      <c r="M91" s="27"/>
      <c r="N91" s="27">
        <v>0</v>
      </c>
      <c r="O91" s="27">
        <v>0</v>
      </c>
      <c r="P91" s="21" t="e">
        <f t="shared" si="36"/>
        <v>#DIV/0!</v>
      </c>
      <c r="Q91" s="27">
        <v>0</v>
      </c>
      <c r="R91" s="27">
        <v>0</v>
      </c>
      <c r="S91" s="21" t="e">
        <f t="shared" si="30"/>
        <v>#DIV/0!</v>
      </c>
      <c r="T91" s="27">
        <v>0</v>
      </c>
      <c r="U91" s="27">
        <v>0</v>
      </c>
      <c r="V91" s="21" t="e">
        <f t="shared" si="31"/>
        <v>#DIV/0!</v>
      </c>
      <c r="W91" s="21">
        <v>0</v>
      </c>
      <c r="X91" s="21">
        <v>0</v>
      </c>
      <c r="Y91" s="21" t="e">
        <f t="shared" si="32"/>
        <v>#DIV/0!</v>
      </c>
      <c r="Z91" s="39">
        <v>0</v>
      </c>
      <c r="AA91" s="39">
        <v>0</v>
      </c>
      <c r="AB91" s="21" t="e">
        <f t="shared" si="33"/>
        <v>#DIV/0!</v>
      </c>
      <c r="AC91" s="39">
        <v>0</v>
      </c>
      <c r="AD91" s="39">
        <v>0</v>
      </c>
      <c r="AE91" s="21" t="e">
        <f t="shared" si="34"/>
        <v>#DIV/0!</v>
      </c>
    </row>
  </sheetData>
  <sheetProtection/>
  <mergeCells count="70">
    <mergeCell ref="W21:Y21"/>
    <mergeCell ref="W22:Y22"/>
    <mergeCell ref="Z21:AB21"/>
    <mergeCell ref="Z22:AB22"/>
    <mergeCell ref="AC21:AE21"/>
    <mergeCell ref="AC22:AE22"/>
    <mergeCell ref="N21:P21"/>
    <mergeCell ref="N22:P22"/>
    <mergeCell ref="Q21:S21"/>
    <mergeCell ref="Q22:S22"/>
    <mergeCell ref="T21:V21"/>
    <mergeCell ref="T22:V22"/>
    <mergeCell ref="E21:G21"/>
    <mergeCell ref="H21:J21"/>
    <mergeCell ref="K21:M21"/>
    <mergeCell ref="E22:G22"/>
    <mergeCell ref="H22:J22"/>
    <mergeCell ref="K22:M22"/>
    <mergeCell ref="AE19:AE20"/>
    <mergeCell ref="X19:X20"/>
    <mergeCell ref="Y19:Y20"/>
    <mergeCell ref="Z19:Z20"/>
    <mergeCell ref="AA19:AA20"/>
    <mergeCell ref="AB19:AB20"/>
    <mergeCell ref="V19:V20"/>
    <mergeCell ref="AC19:AC20"/>
    <mergeCell ref="AD19:AD20"/>
    <mergeCell ref="R19:R20"/>
    <mergeCell ref="S19:S20"/>
    <mergeCell ref="T19:T20"/>
    <mergeCell ref="U19:U20"/>
    <mergeCell ref="N19:N20"/>
    <mergeCell ref="Z18:AB18"/>
    <mergeCell ref="AC18:AE18"/>
    <mergeCell ref="E19:E20"/>
    <mergeCell ref="F19:F20"/>
    <mergeCell ref="G19:G20"/>
    <mergeCell ref="H19:H20"/>
    <mergeCell ref="I19:I20"/>
    <mergeCell ref="J19:J20"/>
    <mergeCell ref="K19:K20"/>
    <mergeCell ref="L19:L20"/>
    <mergeCell ref="M19:M20"/>
    <mergeCell ref="W19:W20"/>
    <mergeCell ref="O19:O20"/>
    <mergeCell ref="P19:P20"/>
    <mergeCell ref="Q19:Q20"/>
    <mergeCell ref="W17:Y17"/>
    <mergeCell ref="Z17:AB17"/>
    <mergeCell ref="AC17:AE17"/>
    <mergeCell ref="H18:J18"/>
    <mergeCell ref="K18:M18"/>
    <mergeCell ref="N18:P18"/>
    <mergeCell ref="Q18:S18"/>
    <mergeCell ref="T18:V18"/>
    <mergeCell ref="W18:Y18"/>
    <mergeCell ref="H17:J17"/>
    <mergeCell ref="K17:M17"/>
    <mergeCell ref="N17:P17"/>
    <mergeCell ref="Q17:S17"/>
    <mergeCell ref="T17:V17"/>
    <mergeCell ref="C1:G3"/>
    <mergeCell ref="C4:G6"/>
    <mergeCell ref="A17:A20"/>
    <mergeCell ref="B17:B20"/>
    <mergeCell ref="C17:C20"/>
    <mergeCell ref="E17:G17"/>
    <mergeCell ref="E18:G18"/>
    <mergeCell ref="A1:B6"/>
    <mergeCell ref="D17:D20"/>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 B100B</dc:creator>
  <cp:keywords/>
  <dc:description/>
  <cp:lastModifiedBy>ericssonr</cp:lastModifiedBy>
  <cp:lastPrinted>2011-07-23T20:53:51Z</cp:lastPrinted>
  <dcterms:created xsi:type="dcterms:W3CDTF">2008-02-13T20:49:14Z</dcterms:created>
  <dcterms:modified xsi:type="dcterms:W3CDTF">2017-07-31T19:05:17Z</dcterms:modified>
  <cp:category/>
  <cp:version/>
  <cp:contentType/>
  <cp:contentStatus/>
</cp:coreProperties>
</file>